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kathryn.donovan\Desktop\"/>
    </mc:Choice>
  </mc:AlternateContent>
  <xr:revisionPtr revIDLastSave="0" documentId="8_{A0D26F2D-D6FF-4381-B7E8-D33E39456404}" xr6:coauthVersionLast="45" xr6:coauthVersionMax="45" xr10:uidLastSave="{00000000-0000-0000-0000-000000000000}"/>
  <bookViews>
    <workbookView xWindow="-120" yWindow="-120" windowWidth="20730" windowHeight="11160" tabRatio="982" xr2:uid="{00000000-000D-0000-FFFF-FFFF00000000}"/>
  </bookViews>
  <sheets>
    <sheet name="Overview" sheetId="21" r:id="rId1"/>
    <sheet name="Instructions WPW tab" sheetId="14" r:id="rId2"/>
    <sheet name="Wholesale Price Waterfall" sheetId="17" r:id="rId3"/>
    <sheet name="Instructions ADC tab" sheetId="19" r:id="rId4"/>
    <sheet name="Annual Distribution Costs" sheetId="11" r:id="rId5"/>
    <sheet name="Instructions TBC tab" sheetId="20" r:id="rId6"/>
    <sheet name="Trip Based Costs" sheetId="2" r:id="rId7"/>
    <sheet name="Non-Cash Considerations" sheetId="15" r:id="rId8"/>
    <sheet name="DefineNames" sheetId="12" state="hidden" r:id="rId9"/>
  </sheets>
  <definedNames>
    <definedName name="_xlnm.Print_Area" localSheetId="4">'Annual Distribution Costs'!$A$1:$P$73</definedName>
    <definedName name="_xlnm.Print_Area" localSheetId="3">'Instructions ADC tab'!$A$1:$F$74</definedName>
    <definedName name="_xlnm.Print_Area" localSheetId="5">'Instructions TBC tab'!$A$1:$F$24</definedName>
    <definedName name="_xlnm.Print_Area" localSheetId="1">'Instructions WPW tab'!$A$1:$F$36</definedName>
    <definedName name="_xlnm.Print_Area" localSheetId="0">Overview!$A$1:$F$19</definedName>
    <definedName name="_xlnm.Print_Area" localSheetId="6">'Trip Based Costs'!$A$6:$Q$64</definedName>
    <definedName name="TruckCostInputData" comment="User Defined Data (&quot;User Data&quot;) or Data based on Averages (&quot;Average)">DefineNames!$A$3:$A$5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7" l="1"/>
  <c r="B43" i="19" l="1"/>
  <c r="B42" i="19"/>
  <c r="B41" i="19"/>
  <c r="B40" i="19"/>
  <c r="B39" i="19"/>
  <c r="B38" i="19"/>
  <c r="B37" i="19"/>
  <c r="B36" i="19"/>
  <c r="B35" i="19"/>
  <c r="C14" i="17" l="1"/>
  <c r="C15" i="17" s="1"/>
  <c r="C18" i="17" l="1"/>
  <c r="C20" i="17"/>
  <c r="C19" i="17"/>
  <c r="C17" i="17"/>
  <c r="K6" i="11"/>
  <c r="C21" i="17" l="1"/>
  <c r="C24" i="17" s="1"/>
  <c r="K26" i="11"/>
  <c r="N25" i="11"/>
  <c r="C25" i="17" l="1"/>
  <c r="E25" i="17" s="1"/>
  <c r="E21" i="17"/>
  <c r="H44" i="11"/>
  <c r="H39" i="11"/>
  <c r="H42" i="11" l="1"/>
  <c r="K52" i="11"/>
  <c r="K53" i="11" s="1"/>
  <c r="F52" i="11"/>
  <c r="F53" i="11" s="1"/>
  <c r="F57" i="11" l="1"/>
  <c r="F56" i="11"/>
  <c r="H30" i="11"/>
  <c r="I30" i="11"/>
  <c r="F30" i="11"/>
  <c r="F70" i="11" l="1"/>
  <c r="M48" i="2"/>
  <c r="N48" i="2"/>
  <c r="O48" i="2"/>
  <c r="P48" i="2"/>
  <c r="L48" i="2"/>
  <c r="P27" i="2"/>
  <c r="O27" i="2"/>
  <c r="N27" i="2"/>
  <c r="M27" i="2"/>
  <c r="L27" i="2"/>
  <c r="I64" i="11" l="1"/>
  <c r="I62" i="11"/>
  <c r="I61" i="11"/>
  <c r="K58" i="11"/>
  <c r="I58" i="11" s="1"/>
  <c r="I54" i="11"/>
  <c r="E57" i="11"/>
  <c r="E56" i="11"/>
  <c r="E55" i="11"/>
  <c r="E54" i="11"/>
  <c r="E30" i="11"/>
  <c r="E51" i="11" s="1"/>
  <c r="M6" i="11" l="1"/>
  <c r="M7" i="11" s="1"/>
  <c r="K7" i="11"/>
  <c r="I52" i="11"/>
  <c r="I53" i="11" s="1"/>
  <c r="E52" i="11"/>
  <c r="E53" i="11" s="1"/>
  <c r="D7" i="11"/>
  <c r="C6" i="2" l="1"/>
  <c r="F49" i="2" s="1"/>
  <c r="D28" i="2" l="1"/>
  <c r="E28" i="2"/>
  <c r="G49" i="2"/>
  <c r="H49" i="2"/>
  <c r="F28" i="2"/>
  <c r="G28" i="2"/>
  <c r="H28" i="2"/>
  <c r="D49" i="2"/>
  <c r="L49" i="2" s="1"/>
  <c r="E12" i="2"/>
  <c r="E49" i="2"/>
  <c r="F12" i="2"/>
  <c r="L28" i="2" l="1"/>
  <c r="H56" i="11"/>
  <c r="F67" i="11" l="1"/>
  <c r="L64" i="11"/>
  <c r="K63" i="11"/>
  <c r="K62" i="11"/>
  <c r="L61" i="11"/>
  <c r="K60" i="11"/>
  <c r="I60" i="11"/>
  <c r="H57" i="11"/>
  <c r="H55" i="11"/>
  <c r="L54" i="11"/>
  <c r="H54" i="11"/>
  <c r="C50" i="11"/>
  <c r="H51" i="11"/>
  <c r="K59" i="11" l="1"/>
  <c r="I51" i="11"/>
  <c r="L51" i="11" s="1"/>
  <c r="I63" i="11"/>
  <c r="I59" i="11" s="1"/>
  <c r="I50" i="11"/>
  <c r="E50" i="11"/>
  <c r="E69" i="11" s="1"/>
  <c r="F68" i="11"/>
  <c r="F69" i="11"/>
  <c r="L60" i="11"/>
  <c r="L62" i="11"/>
  <c r="L58" i="11"/>
  <c r="L63" i="11" l="1"/>
  <c r="L59" i="11" s="1"/>
  <c r="E12" i="11"/>
  <c r="E70" i="11"/>
  <c r="E13" i="11" s="1"/>
  <c r="L50" i="11"/>
  <c r="H50" i="11"/>
  <c r="E29" i="2"/>
  <c r="E68" i="11"/>
  <c r="E67" i="11"/>
  <c r="I72" i="11" l="1"/>
  <c r="I73" i="11"/>
  <c r="E6" i="11"/>
  <c r="E7" i="11" s="1"/>
  <c r="D29" i="2"/>
  <c r="D30" i="2" s="1"/>
  <c r="F29" i="2"/>
  <c r="H29" i="2"/>
  <c r="G29" i="2"/>
  <c r="E13" i="2"/>
  <c r="E14" i="2" s="1"/>
  <c r="E18" i="2" s="1"/>
  <c r="H72" i="11"/>
  <c r="I71" i="11"/>
  <c r="H71" i="11"/>
  <c r="H12" i="11" l="1"/>
  <c r="H73" i="11"/>
  <c r="H13" i="11" s="1"/>
  <c r="G50" i="2"/>
  <c r="F50" i="2"/>
  <c r="E50" i="2"/>
  <c r="E51" i="2" s="1"/>
  <c r="E56" i="2" s="1"/>
  <c r="H50" i="2"/>
  <c r="D50" i="2"/>
  <c r="F13" i="2"/>
  <c r="F14" i="2" s="1"/>
  <c r="F20" i="2" s="1"/>
  <c r="E20" i="2"/>
  <c r="H6" i="11" l="1"/>
  <c r="H7" i="11" s="1"/>
  <c r="F18" i="2"/>
  <c r="E52" i="2"/>
  <c r="E55" i="2"/>
  <c r="E53" i="2"/>
  <c r="E54" i="2"/>
  <c r="E59" i="2"/>
  <c r="E57" i="2"/>
  <c r="E58" i="2"/>
  <c r="O28" i="2" l="1"/>
  <c r="O49" i="2"/>
  <c r="P49" i="2"/>
  <c r="M49" i="2"/>
  <c r="N49" i="2"/>
  <c r="P28" i="2"/>
  <c r="N28" i="2"/>
  <c r="M28" i="2"/>
  <c r="D51" i="2" l="1"/>
  <c r="G30" i="2" l="1"/>
  <c r="M29" i="2"/>
  <c r="N29" i="2"/>
  <c r="H30" i="2"/>
  <c r="N50" i="2"/>
  <c r="F51" i="2"/>
  <c r="P50" i="2"/>
  <c r="H51" i="2"/>
  <c r="L50" i="2"/>
  <c r="O50" i="2"/>
  <c r="G51" i="2"/>
  <c r="M50" i="2"/>
  <c r="L29" i="2" l="1"/>
  <c r="E30" i="2"/>
  <c r="E38" i="2" s="1"/>
  <c r="O29" i="2"/>
  <c r="F30" i="2"/>
  <c r="F37" i="2" s="1"/>
  <c r="P29" i="2"/>
  <c r="M51" i="2"/>
  <c r="O51" i="2"/>
  <c r="G55" i="2"/>
  <c r="G57" i="2"/>
  <c r="G59" i="2"/>
  <c r="G53" i="2"/>
  <c r="G54" i="2"/>
  <c r="G52" i="2"/>
  <c r="G58" i="2"/>
  <c r="G56" i="2"/>
  <c r="P51" i="2"/>
  <c r="H55" i="2"/>
  <c r="H56" i="2"/>
  <c r="H54" i="2"/>
  <c r="H53" i="2"/>
  <c r="H57" i="2"/>
  <c r="H59" i="2"/>
  <c r="H58" i="2"/>
  <c r="H52" i="2"/>
  <c r="L51" i="2"/>
  <c r="D59" i="2"/>
  <c r="D53" i="2"/>
  <c r="D52" i="2"/>
  <c r="D54" i="2"/>
  <c r="D57" i="2"/>
  <c r="D58" i="2"/>
  <c r="D56" i="2"/>
  <c r="D55" i="2"/>
  <c r="F57" i="2"/>
  <c r="N51" i="2"/>
  <c r="F52" i="2"/>
  <c r="F55" i="2"/>
  <c r="F53" i="2"/>
  <c r="F59" i="2"/>
  <c r="F56" i="2"/>
  <c r="F58" i="2"/>
  <c r="F54" i="2"/>
  <c r="O30" i="2"/>
  <c r="G34" i="2"/>
  <c r="G35" i="2"/>
  <c r="G37" i="2"/>
  <c r="G33" i="2"/>
  <c r="G36" i="2"/>
  <c r="G38" i="2"/>
  <c r="G31" i="2"/>
  <c r="G32" i="2"/>
  <c r="L30" i="2"/>
  <c r="D38" i="2"/>
  <c r="D34" i="2"/>
  <c r="D32" i="2"/>
  <c r="D36" i="2"/>
  <c r="D31" i="2"/>
  <c r="D33" i="2"/>
  <c r="D37" i="2"/>
  <c r="D35" i="2"/>
  <c r="P30" i="2"/>
  <c r="H31" i="2"/>
  <c r="H37" i="2"/>
  <c r="H35" i="2"/>
  <c r="H33" i="2"/>
  <c r="H34" i="2"/>
  <c r="H36" i="2"/>
  <c r="H38" i="2"/>
  <c r="H32" i="2"/>
  <c r="E37" i="2" l="1"/>
  <c r="E33" i="2"/>
  <c r="M30" i="2"/>
  <c r="M40" i="2" s="1"/>
  <c r="E34" i="2"/>
  <c r="E31" i="2"/>
  <c r="E35" i="2"/>
  <c r="E32" i="2"/>
  <c r="E36" i="2"/>
  <c r="F31" i="2"/>
  <c r="F36" i="2"/>
  <c r="F35" i="2"/>
  <c r="N30" i="2"/>
  <c r="N35" i="2" s="1"/>
  <c r="F32" i="2"/>
  <c r="F38" i="2"/>
  <c r="F34" i="2"/>
  <c r="F33" i="2"/>
  <c r="L53" i="2"/>
  <c r="L57" i="2"/>
  <c r="L61" i="2"/>
  <c r="L52" i="2"/>
  <c r="L54" i="2"/>
  <c r="L58" i="2"/>
  <c r="L62" i="2"/>
  <c r="L64" i="2"/>
  <c r="L55" i="2"/>
  <c r="L59" i="2"/>
  <c r="L63" i="2"/>
  <c r="L56" i="2"/>
  <c r="L60" i="2"/>
  <c r="O54" i="2"/>
  <c r="O58" i="2"/>
  <c r="O62" i="2"/>
  <c r="O55" i="2"/>
  <c r="O59" i="2"/>
  <c r="O63" i="2"/>
  <c r="O56" i="2"/>
  <c r="O60" i="2"/>
  <c r="O64" i="2"/>
  <c r="O52" i="2"/>
  <c r="O53" i="2"/>
  <c r="O57" i="2"/>
  <c r="O61" i="2"/>
  <c r="N55" i="2"/>
  <c r="N59" i="2"/>
  <c r="N63" i="2"/>
  <c r="N56" i="2"/>
  <c r="N60" i="2"/>
  <c r="N64" i="2"/>
  <c r="N52" i="2"/>
  <c r="N53" i="2"/>
  <c r="N57" i="2"/>
  <c r="N61" i="2"/>
  <c r="N54" i="2"/>
  <c r="N58" i="2"/>
  <c r="N62" i="2"/>
  <c r="M56" i="2"/>
  <c r="M60" i="2"/>
  <c r="M64" i="2"/>
  <c r="M52" i="2"/>
  <c r="M63" i="2"/>
  <c r="M53" i="2"/>
  <c r="M57" i="2"/>
  <c r="M61" i="2"/>
  <c r="M59" i="2"/>
  <c r="M54" i="2"/>
  <c r="M58" i="2"/>
  <c r="M62" i="2"/>
  <c r="M55" i="2"/>
  <c r="P53" i="2"/>
  <c r="P57" i="2"/>
  <c r="P61" i="2"/>
  <c r="P54" i="2"/>
  <c r="P58" i="2"/>
  <c r="P62" i="2"/>
  <c r="P52" i="2"/>
  <c r="P55" i="2"/>
  <c r="P59" i="2"/>
  <c r="P63" i="2"/>
  <c r="P56" i="2"/>
  <c r="P60" i="2"/>
  <c r="P64" i="2"/>
  <c r="L32" i="2"/>
  <c r="L33" i="2"/>
  <c r="L38" i="2"/>
  <c r="L43" i="2"/>
  <c r="L36" i="2"/>
  <c r="L37" i="2"/>
  <c r="L42" i="2"/>
  <c r="L40" i="2"/>
  <c r="L41" i="2"/>
  <c r="L35" i="2"/>
  <c r="L31" i="2"/>
  <c r="L34" i="2"/>
  <c r="L39" i="2"/>
  <c r="P36" i="2"/>
  <c r="P41" i="2"/>
  <c r="P35" i="2"/>
  <c r="P40" i="2"/>
  <c r="P34" i="2"/>
  <c r="P39" i="2"/>
  <c r="P33" i="2"/>
  <c r="P38" i="2"/>
  <c r="P43" i="2"/>
  <c r="P32" i="2"/>
  <c r="P37" i="2"/>
  <c r="P42" i="2"/>
  <c r="P31" i="2"/>
  <c r="O34" i="2"/>
  <c r="O39" i="2"/>
  <c r="O36" i="2"/>
  <c r="O33" i="2"/>
  <c r="O38" i="2"/>
  <c r="O43" i="2"/>
  <c r="O40" i="2"/>
  <c r="O37" i="2"/>
  <c r="O42" i="2"/>
  <c r="O31" i="2"/>
  <c r="O41" i="2"/>
  <c r="O35" i="2"/>
  <c r="O32" i="2"/>
  <c r="M32" i="2" l="1"/>
  <c r="N38" i="2"/>
  <c r="N31" i="2"/>
  <c r="N34" i="2"/>
  <c r="M37" i="2"/>
  <c r="M43" i="2"/>
  <c r="M41" i="2"/>
  <c r="M33" i="2"/>
  <c r="M36" i="2"/>
  <c r="M31" i="2"/>
  <c r="M39" i="2"/>
  <c r="M35" i="2"/>
  <c r="M34" i="2"/>
  <c r="M42" i="2"/>
  <c r="M38" i="2"/>
  <c r="N41" i="2"/>
  <c r="N37" i="2"/>
  <c r="N40" i="2"/>
  <c r="N36" i="2"/>
  <c r="N32" i="2"/>
  <c r="N42" i="2"/>
  <c r="N33" i="2"/>
  <c r="N43" i="2"/>
  <c r="N39" i="2"/>
</calcChain>
</file>

<file path=xl/sharedStrings.xml><?xml version="1.0" encoding="utf-8"?>
<sst xmlns="http://schemas.openxmlformats.org/spreadsheetml/2006/main" count="382" uniqueCount="244">
  <si>
    <t>Fuel Costs</t>
  </si>
  <si>
    <t>Insurance Costs</t>
  </si>
  <si>
    <t>Owning</t>
  </si>
  <si>
    <t>Trip Length</t>
  </si>
  <si>
    <t>Leasing</t>
  </si>
  <si>
    <t>Driver cost</t>
  </si>
  <si>
    <t>Ops + Capex Cost</t>
  </si>
  <si>
    <t>Trip Cost</t>
  </si>
  <si>
    <t>Average</t>
  </si>
  <si>
    <t>miles:</t>
  </si>
  <si>
    <t>Room on the Truck</t>
  </si>
  <si>
    <t>Cases</t>
  </si>
  <si>
    <t>Pallets</t>
  </si>
  <si>
    <t>cost per case</t>
  </si>
  <si>
    <t>cost per pallet</t>
  </si>
  <si>
    <t>Estimated Fuel Efficiency (mpg)</t>
  </si>
  <si>
    <t>Average Annual Maintenance Costs</t>
  </si>
  <si>
    <t>SHIPPING VARIABLES</t>
  </si>
  <si>
    <t>Registration Costs</t>
  </si>
  <si>
    <t>Base Rent</t>
  </si>
  <si>
    <t>Operation Costs</t>
  </si>
  <si>
    <t>OWN</t>
  </si>
  <si>
    <t>LEASE</t>
  </si>
  <si>
    <t>Per Mile-Specific Calculations</t>
  </si>
  <si>
    <t>Duration of Active Use Costs</t>
  </si>
  <si>
    <t>Duration of Active Use Hours</t>
  </si>
  <si>
    <t>Standby Charge Hours</t>
  </si>
  <si>
    <t>Standby charge Costs</t>
  </si>
  <si>
    <t>Cost Per Mile</t>
  </si>
  <si>
    <t>Not Applicable</t>
  </si>
  <si>
    <t>Other Licenses Costs (i.e. dairy, etc.)</t>
  </si>
  <si>
    <t>Capital Cost</t>
  </si>
  <si>
    <t>Truck Mileage  charge (cost/mile)</t>
  </si>
  <si>
    <t>Refer Active Use Costs</t>
  </si>
  <si>
    <t>Refer hours per week</t>
  </si>
  <si>
    <t>Refer Standby charge Costs</t>
  </si>
  <si>
    <t>Refer Standby Charge Hours per week</t>
  </si>
  <si>
    <t>Ownership: Average Cost per Mile</t>
  </si>
  <si>
    <t>Ownership: Observed Cost per Mile</t>
  </si>
  <si>
    <t>Lease: Average Cost per Mile</t>
  </si>
  <si>
    <t>Lease: Observed Cost per Mile</t>
  </si>
  <si>
    <t>Lease Costs per Mile without Fuel</t>
  </si>
  <si>
    <t>Ownership: Observed Check</t>
  </si>
  <si>
    <t>Lease: Observed Check</t>
  </si>
  <si>
    <t>TruckCostInputData</t>
  </si>
  <si>
    <t>Select One…</t>
  </si>
  <si>
    <t>Comparison by Trip Costs + Product Volumes</t>
  </si>
  <si>
    <r>
      <t xml:space="preserve">Cost per Mile 
</t>
    </r>
    <r>
      <rPr>
        <b/>
        <sz val="11"/>
        <color theme="1"/>
        <rFont val="Calibri"/>
        <family val="2"/>
        <scheme val="minor"/>
      </rPr>
      <t>(LEASE AVG)</t>
    </r>
  </si>
  <si>
    <t>COST COMPARISON ANALYSIS</t>
  </si>
  <si>
    <t>FINANCIAL ANALYSIS DECISION MAKING TOOL</t>
  </si>
  <si>
    <t>User Defined</t>
  </si>
  <si>
    <t>SHARED (Own or Lease)</t>
  </si>
  <si>
    <t>Base Rent (Annual)</t>
  </si>
  <si>
    <t>DISTRIBUTOR COST ANALYSIS</t>
  </si>
  <si>
    <t>Quoted shipping / delivery cost per case</t>
  </si>
  <si>
    <t>Quoted shipping / delivery cost per pallet</t>
  </si>
  <si>
    <t>CasePallet</t>
  </si>
  <si>
    <t>Select One</t>
  </si>
  <si>
    <t>Pallet</t>
  </si>
  <si>
    <t>Case</t>
  </si>
  <si>
    <t>VT Average</t>
  </si>
  <si>
    <t>Driver wage (Hrly inc. Overheads &amp; additionals)*</t>
  </si>
  <si>
    <t>Driver Hours per Day*</t>
  </si>
  <si>
    <t>DATA + Calculations ---- DO NOT TOUCH</t>
  </si>
  <si>
    <r>
      <t>Cost per Mile</t>
    </r>
    <r>
      <rPr>
        <b/>
        <sz val="11"/>
        <color theme="1"/>
        <rFont val="Calibri"/>
        <family val="2"/>
        <scheme val="minor"/>
      </rPr>
      <t xml:space="preserve"> 
(User Defined)</t>
    </r>
  </si>
  <si>
    <r>
      <t xml:space="preserve">Cost per Mile 
</t>
    </r>
    <r>
      <rPr>
        <b/>
        <sz val="11"/>
        <color theme="1"/>
        <rFont val="Calibri"/>
        <family val="2"/>
        <scheme val="minor"/>
      </rPr>
      <t>(LEASE - User Defined)</t>
    </r>
  </si>
  <si>
    <r>
      <t>Cost per Mile</t>
    </r>
    <r>
      <rPr>
        <b/>
        <sz val="11"/>
        <color theme="1"/>
        <rFont val="Calibri"/>
        <family val="2"/>
        <scheme val="minor"/>
      </rPr>
      <t xml:space="preserve"> 
(OWNERSHIP AVG)</t>
    </r>
  </si>
  <si>
    <t>Enter Data in these color cells</t>
  </si>
  <si>
    <t>Required cell. Enter data</t>
  </si>
  <si>
    <t>Avg. Speed of trip (&lt; 100 miles) mph</t>
  </si>
  <si>
    <t>Avg. Speed of trip (&gt; 100 miles) mph</t>
  </si>
  <si>
    <t>Percent mark-up (if used)</t>
  </si>
  <si>
    <t>Percent margin (if used)</t>
  </si>
  <si>
    <t>USE DISTRIBUTOR</t>
  </si>
  <si>
    <t xml:space="preserve">OWN A TRUCK </t>
  </si>
  <si>
    <t>LEASE A TRUCK</t>
  </si>
  <si>
    <t>HIRE SHIPPING SERVICE</t>
  </si>
  <si>
    <t>Average Price ($/Gal)</t>
  </si>
  <si>
    <t>SHIPPING SERVICE</t>
  </si>
  <si>
    <t>VS</t>
  </si>
  <si>
    <t>SELF DISTRIBUTION: OWNERSHIP</t>
  </si>
  <si>
    <t>SELF DISTRIBUTION: LEASING</t>
  </si>
  <si>
    <t>Fixed Assumptions</t>
  </si>
  <si>
    <t>User Input</t>
  </si>
  <si>
    <t>Questions or Assistance:</t>
  </si>
  <si>
    <t xml:space="preserve">The model does not take into account depreciation of vehicle assets, however it does take into account the annual cost of ownership (financing and interest), which could alternatively be input as a straightline depreciation variable. </t>
  </si>
  <si>
    <t xml:space="preserve">The model provides a simple cost-benefit analysis over a 12 month period. It does not assess a discount rate to the value of money over time. </t>
  </si>
  <si>
    <t>Beige Cells not outlined in red are not required, but are meant to be modified by you, the user. If you have data for these cells, they will improve the accuracy of your analysis.</t>
  </si>
  <si>
    <t xml:space="preserve">Cells in black are not meant to be modified. </t>
  </si>
  <si>
    <t>A black cell means the cell is not applicable to the analysis(do not edit)</t>
  </si>
  <si>
    <t>Operational Costs per Mile (exclude fuel and labor)</t>
  </si>
  <si>
    <t>Operational + Capital Cost per Mile(exclude fuel and labor)</t>
  </si>
  <si>
    <t>Annual Labor Charge</t>
  </si>
  <si>
    <t>Annual Miles driven (required input)*</t>
  </si>
  <si>
    <t>Number of Pallets Shipped per Year</t>
  </si>
  <si>
    <t>Number of Cases Shipped per Year*</t>
  </si>
  <si>
    <t>Inputs</t>
  </si>
  <si>
    <t>Use User Defined Data or Average Data --&gt;</t>
  </si>
  <si>
    <t>Select Case or Pallet --&gt;</t>
  </si>
  <si>
    <t>Opex &amp; Capex Costs per Mile (inc Fuel, ex. labor)</t>
  </si>
  <si>
    <t>Lease Costs per Mile (inc Fuel ex Labor)</t>
  </si>
  <si>
    <t>Number of Days driving per week*</t>
  </si>
  <si>
    <t>Number of Weeks driving per year*</t>
  </si>
  <si>
    <t>Annual Labor Charge per mile</t>
  </si>
  <si>
    <t>Lease Costs per Mile (inc Fuel, Labor)</t>
  </si>
  <si>
    <t>Opex &amp; Capex Costs per Mile (inc Fuel, Labor)</t>
  </si>
  <si>
    <t>Total Cost Per Year 
(Operational costs, fuel, and labor)</t>
  </si>
  <si>
    <t>Cost</t>
  </si>
  <si>
    <t>Mark-Up</t>
  </si>
  <si>
    <t>Margin</t>
  </si>
  <si>
    <t>Use Cost or Mark-Up --&gt;</t>
  </si>
  <si>
    <t>Use Margin or Mark-Up --&gt;</t>
  </si>
  <si>
    <t xml:space="preserve">Truck cost analysis: enter the number of pallets that may be on that truck route. </t>
  </si>
  <si>
    <t xml:space="preserve">Truck cost analysis: enter the number of cases that may be on that truck route. </t>
  </si>
  <si>
    <t>Truck cost analysis: enter the number of miles for a specific truck route.</t>
  </si>
  <si>
    <t>If using a Distributor service. Do they charge by using a Margin or Mark-Up method</t>
  </si>
  <si>
    <t>If using a Shipping service. Do they charge by using a Margin or Mark-Up method</t>
  </si>
  <si>
    <t>Leasing: Refer standby cost per hour</t>
  </si>
  <si>
    <t>Leasing: Refer active use cost per hour</t>
  </si>
  <si>
    <t>Leasing: Charge per mile</t>
  </si>
  <si>
    <t>Leasing: Base annual rent</t>
  </si>
  <si>
    <t>Capital Cost (debt payments, retained earnings to pay for future truck, etc.)</t>
  </si>
  <si>
    <t>Registration Costs (annual)</t>
  </si>
  <si>
    <t>Fuel Costs (enter data or use the equation to determine it based on MPG and avg. price)</t>
  </si>
  <si>
    <t>Cost breakdown by Case or Pallet</t>
  </si>
  <si>
    <t>Select to use your own data entries or average values. If you select User Defined and have no value where needed, average values will be used</t>
  </si>
  <si>
    <t>Variables</t>
  </si>
  <si>
    <t>Jonathan Slason, RSG</t>
  </si>
  <si>
    <t>Rosalie Wilson, Technical Provider</t>
  </si>
  <si>
    <t>For more information or technical help with the model, contact:</t>
  </si>
  <si>
    <t>These cells are calculations or pre-defined (do not edit these cells)</t>
  </si>
  <si>
    <t xml:space="preserve">Cells in light green are not meant to be modified. </t>
  </si>
  <si>
    <t>Variable Number</t>
  </si>
  <si>
    <t>Beige Cells outlined in red are meant to be modified by you, the user. These cells are required.  Also identified by an *</t>
  </si>
  <si>
    <t>For self-distribution analysis, the tool compares your ownership and leasing actual expenses to the Vermont average.</t>
  </si>
  <si>
    <t>Limitations</t>
  </si>
  <si>
    <t>$ fee charged per case</t>
  </si>
  <si>
    <t xml:space="preserve">The authors of these tools assume no liability for any errors, omissions, or misuse of this calculation template.   </t>
  </si>
  <si>
    <t xml:space="preserve">These tools are not meant to cover all circumstances or situations, and therefore may not represent your exact situation. </t>
  </si>
  <si>
    <t>These tools are meant to provide a simple method as a way to compare how different distribution options may work for you.</t>
  </si>
  <si>
    <t>OWN A VEHICLE</t>
  </si>
  <si>
    <t>LEASE A VEHICLE</t>
  </si>
  <si>
    <t>Note to user:</t>
  </si>
  <si>
    <t>&lt;-- linked from Annual Distribution Costs (Variable #1)</t>
  </si>
  <si>
    <t>Annual Distribution Costs Tab</t>
  </si>
  <si>
    <t>Trip Based Costs Tab</t>
  </si>
  <si>
    <t xml:space="preserve">Cost per Mile inputs are extracted from the Annual Distribution Cost worksheet. </t>
  </si>
  <si>
    <t>Shipping service: Quoted shipping / delivery cost per case</t>
  </si>
  <si>
    <t>Shipping service: Quoted shipping / delivery cost per pallet</t>
  </si>
  <si>
    <t>Shipping service: Percent mark-up per case (if used)</t>
  </si>
  <si>
    <t>Shipping service: Value per case</t>
  </si>
  <si>
    <t>Distributor: Percent margin (if used)</t>
  </si>
  <si>
    <t>Distributor: Percent mark-up (if used)</t>
  </si>
  <si>
    <t>Distributor: Value of Case or Pallet</t>
  </si>
  <si>
    <t>How Much Product Do You Need on the Truck to Cover the Costs?</t>
  </si>
  <si>
    <t>Mark-up charged per case (Margin)</t>
  </si>
  <si>
    <t>Number of Cases</t>
  </si>
  <si>
    <t xml:space="preserve">Note to user: </t>
  </si>
  <si>
    <t>This analysis is to determine what the cost per unit for a specific trip length on a truck using the cost per mile data entered in the Annual Distribution Costs</t>
  </si>
  <si>
    <t>inputs:</t>
  </si>
  <si>
    <t>- length of route (miles)
- number of cases on the truck or number of pallets</t>
  </si>
  <si>
    <t>Opex &amp; Capex Costs per Mile 
(inc Fuel, ex. labor)</t>
  </si>
  <si>
    <t>Opex &amp; Capex Costs per Mile 
(inc Fuel, Labor)</t>
  </si>
  <si>
    <t>Based on your current volume and cost of operations, the least cost per case above is your most cost efficient delivery solution.</t>
  </si>
  <si>
    <t>&lt;-- Note to User:</t>
  </si>
  <si>
    <t>This comparison of Owning vs. Leasing a truck is a guide that can inform when your costs of operations may suggest one way or another is more cost effective based on per mile expenditures, irrespective of volume.</t>
  </si>
  <si>
    <t xml:space="preserve">If you charge a Mark-Up the dollar value of product needed on the truck to break even is: </t>
  </si>
  <si>
    <t>Values are presented from lower (green) to higher (red).</t>
  </si>
  <si>
    <t>If you charge a fee per case, the number of cases needed on the truck to break even is:</t>
  </si>
  <si>
    <t>If you charge a Mark-Up the dollar value of product needed on the truck to break even is:</t>
  </si>
  <si>
    <t xml:space="preserve">This Worksheet is for analysis of your costs of operations for a specific mileage. 
This Worksheet uses the inputs from the Annual Distribution Cost worksheet and the per mile output.  
This is helpful for operators of specific routes to understand the volume on the truck necessary to pay its way, or for producers who may run limited distribution services understand what it may be worth for them to hire or pay for a specific route. </t>
  </si>
  <si>
    <t>The Trip Based Costs Tab is designed to help producers and shippers identify the break-even dollar value or number of cases of product needed on a vehicle based on the margin or dollar fee charged per case. It provides results for both owning and leasing scenarios.</t>
  </si>
  <si>
    <t>The tools were built so that you can use your own data if available. The tools will default to the average costs included in columns F &amp; I in the Annual Distribution Costs tab if no user defined inputs are entered. Some inputs are required, as explained below. For these required inputs you must enter a value. For other variables, if you do not know your value, leave it blank and the average will be used.</t>
  </si>
  <si>
    <t>Feature</t>
  </si>
  <si>
    <t>Benefit</t>
  </si>
  <si>
    <t>Redundancy</t>
  </si>
  <si>
    <t>Reliability</t>
  </si>
  <si>
    <t>Explanation</t>
  </si>
  <si>
    <t>When you lease a vehicle, if the vehicle breaks down, the leasing company is required to send out a replacement, ensuring you can continue with your deliveries and keep your customer commitments. When you own a transportation vehicle you often do not purchase a second vehicle to have as a back up and thus when your delivery vehicle breaks down, you are unable to maintain your delivery committments with your clients. Repeated inability to adhere to delivery schedules may threaten client relationships.</t>
  </si>
  <si>
    <t>1.</t>
  </si>
  <si>
    <t>2.</t>
  </si>
  <si>
    <t>Repairs &amp; Maintenance</t>
  </si>
  <si>
    <t>Accessibility</t>
  </si>
  <si>
    <t xml:space="preserve">When you lease a vehicle the leasing company regularly maintains and services the vehicle and has access to qualified, expert technicians for vehicle and reefer unit repairs and maintenance. When you own a delivery vehicle, especially one with a reefer unit, access to qualified mechanics and service technicians with the skills and expertise needed to service them can be hard to find and inconvenient and expensive to access. </t>
  </si>
  <si>
    <t xml:space="preserve">When considering owning versus leasing a vehicle there is value in the cost of leasing that may not be reflected in the cash expenses: </t>
  </si>
  <si>
    <t>Owner's value</t>
  </si>
  <si>
    <t>Best use of human resources</t>
  </si>
  <si>
    <t>When considering the owner conducting the deliveries vs a paid employee or employing a freight shipping service or distributor</t>
  </si>
  <si>
    <t>In the distribution analysis in tab 2 the average hourly wage for drivers in VT as of 2018 was $24/hr, in the case of owners who are self-distributing the value of their time may far exceed $24 per hour. For owners who are conducting their own deliveries and not paying paid labor to do so, it is important to not just quantify the hourly rate based on if they did pay a driver, but also based on the actual hourly rate they as owners should be being paid for their higher level of skills and expertise that could be being better leveraged elsewhere in the business. When accounting for the asset value of the owners' labor versus any hourly wage employee, the cost-benefit of hiring a paid driver and/or of utilizing a freight shipping service or distributor may be much more financially attractive, allowing the business to direct its human resources to best/highest use.</t>
  </si>
  <si>
    <t>Hidden cost of labor spent on logistics management; individual account invoicing/order fulfillment</t>
  </si>
  <si>
    <t>When self distributing the owner or company has to spend time working out logistics, route planning, coordinating delivery schedules with every indiviudal account and conducting the invoice and order prep for every individual account. When using a distributor the time spent in-house doing these functions is moot, the in-house time need only be spent organizing a delivery and a single invoice to the distributor. The labor cost spent on logistics management, invoicing and order fullment coordination are not factored into the labor calculations for Annual Distribution Costs or Trip Based Costs.</t>
  </si>
  <si>
    <t>Othe non cash considerations</t>
  </si>
  <si>
    <t>how it affects needing a rental vehicle, labor time needed for pick up/drop off; rerouting; unexpected cash expenditures</t>
  </si>
  <si>
    <t>breakdowns of an owned vehicle</t>
  </si>
  <si>
    <t>Price to Retailer</t>
  </si>
  <si>
    <t>Wholesale Price</t>
  </si>
  <si>
    <t>Trade Allowances</t>
  </si>
  <si>
    <t>Market Allowance</t>
  </si>
  <si>
    <t>Shrink Allowance</t>
  </si>
  <si>
    <t>Payment Terms Allowance</t>
  </si>
  <si>
    <t>Transportation Allowance</t>
  </si>
  <si>
    <t>Net Sale</t>
  </si>
  <si>
    <t>of SRP</t>
  </si>
  <si>
    <t>Additional Discretionary Expense &amp; Fees</t>
  </si>
  <si>
    <t>Market Support Services</t>
  </si>
  <si>
    <t>average fee per warehouse (DC) per year</t>
  </si>
  <si>
    <t>Broker</t>
  </si>
  <si>
    <t>of net sale average cost for broker</t>
  </si>
  <si>
    <t>Net Revenue to Supplier</t>
  </si>
  <si>
    <t xml:space="preserve">The Annual Distribution Costs Tab compares the cost benefit of self distribution with an owned vehicle, self distribution with a leased vehicle, delivery via a shipping service, and distribution via a distributor.  </t>
  </si>
  <si>
    <t>It also assesses whether leasing or owning is more cost effective based on your cost of distribution per mile.</t>
  </si>
  <si>
    <t>Price Margin Waterfall Calculator Tab</t>
  </si>
  <si>
    <t>For margins, trade allowances and discretionary fees, use the suggested margin or edit with the actual from your retailer/distributor</t>
  </si>
  <si>
    <t>Product, Pricing, Margin and Allowance Variables</t>
  </si>
  <si>
    <t>© Rose Wilson Consulting LLC 2020</t>
  </si>
  <si>
    <t>distributor margin on price to retailer (39% mark up for VT Average if using mark up not margin)</t>
  </si>
  <si>
    <t>This cell is adjacent to a cell which you can enter data or select from a pull down menu. If you do not enter data, the state average will be used</t>
  </si>
  <si>
    <t>Product*</t>
  </si>
  <si>
    <t>Unit of Measure*</t>
  </si>
  <si>
    <t>Number of Units Sold Per Year*</t>
  </si>
  <si>
    <t>Suggested Retail Price*</t>
  </si>
  <si>
    <t>Use User Defined Data or Average Data* --&gt;</t>
  </si>
  <si>
    <t>Market Support Services (additional marketing fees charged for broker/distributor discretionary services if applicable)</t>
  </si>
  <si>
    <t>Broker fees (if applicable)</t>
  </si>
  <si>
    <t>Payment Terms Allowance (if applicable)</t>
  </si>
  <si>
    <t>THIS CELL IS A DROP DOWN TAB. Formulas default to Average UNLESS User Defined is selected</t>
  </si>
  <si>
    <t>retailer margin on Suggested Retail Price (SRP), this is the price retailer pays</t>
  </si>
  <si>
    <t xml:space="preserve">These tools use observed average data from a limited data set. 
</t>
  </si>
  <si>
    <t xml:space="preserve">These tools use observed average data from a limited data set.
</t>
  </si>
  <si>
    <t>Instruction Details For Annual Distribution Costs tab</t>
  </si>
  <si>
    <t>The Non-Cash Considerations tab includes examples of non-cash considerations that should be part of a cost benefit analysis when exploring leasing vs owning or in-house vs outsourcing distribution.</t>
  </si>
  <si>
    <t>Instruction Details For Trip Based Costs tab</t>
  </si>
  <si>
    <t>WHOLESALE PRICE WATERFALL CALCULATOR</t>
  </si>
  <si>
    <t>retail price to consumer (SRP)</t>
  </si>
  <si>
    <t xml:space="preserve">The Wholesale Price Waterfall Calculator Tab projects the potential return a producer may expect tp receive if selling into wholesale (either direct to retail or through a distributor) after margins and trade allowances are deducted. </t>
  </si>
  <si>
    <t>Instruction Details for Wholesale Price Waterfall Calculator</t>
  </si>
  <si>
    <t>Overview Distribution and Wholesale Financial Decision Making Tool</t>
  </si>
  <si>
    <t xml:space="preserve">The Distribution and Wholesale Financial Analysis Decision Making Tool is a suite of Excel (©Microsoft Corporation) based models designed to assist with the financial decision making related to product market channel, distribution and delivery selection.          </t>
  </si>
  <si>
    <t>cherry tomatoes</t>
  </si>
  <si>
    <t>pints</t>
  </si>
  <si>
    <t>ANNUAL DISTRIBUTION COSTS</t>
  </si>
  <si>
    <t>TRIP BASED COSTS</t>
  </si>
  <si>
    <t>NON CASH CONSIDERATIONS</t>
  </si>
  <si>
    <t>Other Licenses &amp; Costs (i.e. dairy, tolls,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</si>
</sst>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_(&quot;$&quot;* #,##0.000_);_(&quot;$&quot;* \(#,##0.000\);_(&quot;$&quot;* &quot;-&quot;??_);_(@_)"/>
    <numFmt numFmtId="165" formatCode="_(&quot;$&quot;* #,##0_);_(&quot;$&quot;* \(#,##0\);_(&quot;$&quot;* &quot;-&quot;??_);_(@_)"/>
    <numFmt numFmtId="166" formatCode="_(* #,##0_);_(* \(#,##0\);_(* &quot;-&quot;??_);_(@_)"/>
    <numFmt numFmtId="167" formatCode="0.0000"/>
    <numFmt numFmtId="168" formatCode="0.000"/>
    <numFmt numFmtId="169" formatCode="&quot;$&quot;#,##0.00"/>
  </numFmts>
  <fonts count="36"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i/>
      <sz val="11"/>
      <color theme="1"/>
      <name val="Calibri"/>
      <family val="2"/>
      <scheme val="minor"/>
    </font>
    <font>
      <sz val="18"/>
      <color theme="3"/>
      <name val="Calibri Light"/>
      <family val="2"/>
      <scheme val="major"/>
    </font>
    <font>
      <sz val="11"/>
      <color theme="0"/>
      <name val="Calibri"/>
      <family val="2"/>
      <scheme val="minor"/>
    </font>
    <font>
      <i/>
      <sz val="11"/>
      <color theme="1"/>
      <name val="Calibri"/>
      <family val="2"/>
      <scheme val="minor"/>
    </font>
    <font>
      <sz val="12"/>
      <color theme="1"/>
      <name val="Calibri"/>
      <family val="2"/>
      <scheme val="minor"/>
    </font>
    <font>
      <b/>
      <sz val="12"/>
      <name val="Calibri"/>
      <family val="2"/>
      <scheme val="minor"/>
    </font>
    <font>
      <i/>
      <sz val="12"/>
      <color theme="1"/>
      <name val="Calibri"/>
      <family val="2"/>
      <scheme val="minor"/>
    </font>
    <font>
      <b/>
      <sz val="12"/>
      <color theme="1" tint="0.249977111117893"/>
      <name val="Calibri"/>
      <family val="2"/>
      <scheme val="minor"/>
    </font>
    <font>
      <sz val="14"/>
      <color theme="0"/>
      <name val="Calibri"/>
      <family val="2"/>
      <scheme val="minor"/>
    </font>
    <font>
      <b/>
      <sz val="16"/>
      <color theme="1"/>
      <name val="Calibri"/>
      <family val="2"/>
      <scheme val="minor"/>
    </font>
    <font>
      <b/>
      <sz val="20"/>
      <color theme="3"/>
      <name val="Calibri Light"/>
      <family val="2"/>
      <scheme val="major"/>
    </font>
    <font>
      <b/>
      <sz val="20"/>
      <color theme="3"/>
      <name val="Calibri"/>
      <family val="2"/>
      <scheme val="minor"/>
    </font>
    <font>
      <sz val="18"/>
      <name val="Calibri Light"/>
      <family val="2"/>
      <scheme val="major"/>
    </font>
    <font>
      <b/>
      <u/>
      <sz val="16"/>
      <color theme="1"/>
      <name val="Calibri"/>
      <family val="2"/>
      <scheme val="minor"/>
    </font>
    <font>
      <sz val="16"/>
      <color theme="1"/>
      <name val="Calibri"/>
      <family val="2"/>
      <scheme val="minor"/>
    </font>
    <font>
      <b/>
      <sz val="20"/>
      <color theme="1"/>
      <name val="Calibri"/>
      <family val="2"/>
      <scheme val="minor"/>
    </font>
    <font>
      <b/>
      <sz val="18"/>
      <color theme="1"/>
      <name val="Calibri"/>
      <family val="2"/>
      <scheme val="minor"/>
    </font>
    <font>
      <sz val="14"/>
      <color theme="1"/>
      <name val="Calibri"/>
      <family val="2"/>
      <scheme val="minor"/>
    </font>
    <font>
      <b/>
      <sz val="24"/>
      <color theme="1"/>
      <name val="Calibri"/>
      <family val="2"/>
      <scheme val="minor"/>
    </font>
    <font>
      <b/>
      <sz val="14"/>
      <color theme="1" tint="0.24994659260841701"/>
      <name val="Calibri"/>
      <family val="2"/>
      <scheme val="minor"/>
    </font>
    <font>
      <b/>
      <sz val="14"/>
      <color theme="1" tint="0.249977111117893"/>
      <name val="Calibri"/>
      <family val="2"/>
      <scheme val="minor"/>
    </font>
    <font>
      <b/>
      <sz val="20"/>
      <color theme="1" tint="0.34998626667073579"/>
      <name val="Calibri"/>
      <family val="2"/>
      <scheme val="minor"/>
    </font>
    <font>
      <b/>
      <sz val="11"/>
      <color theme="0"/>
      <name val="Calibri"/>
      <family val="2"/>
      <scheme val="minor"/>
    </font>
    <font>
      <sz val="10.5"/>
      <color theme="1"/>
      <name val="Calibri"/>
      <family val="2"/>
      <scheme val="minor"/>
    </font>
    <font>
      <b/>
      <u/>
      <sz val="11"/>
      <color theme="1"/>
      <name val="Calibri"/>
      <family val="2"/>
      <scheme val="minor"/>
    </font>
    <font>
      <b/>
      <sz val="18"/>
      <name val="Calibri Light"/>
      <family val="2"/>
      <scheme val="major"/>
    </font>
    <font>
      <b/>
      <sz val="12"/>
      <color theme="1"/>
      <name val="Calibri"/>
      <family val="2"/>
      <scheme val="minor"/>
    </font>
    <font>
      <b/>
      <sz val="11"/>
      <name val="Calibri"/>
      <family val="2"/>
      <scheme val="minor"/>
    </font>
    <font>
      <sz val="16"/>
      <color theme="0"/>
      <name val="Calibri"/>
      <family val="2"/>
      <scheme val="minor"/>
    </font>
    <font>
      <b/>
      <sz val="26"/>
      <color theme="3"/>
      <name val="Calibri"/>
      <family val="2"/>
      <scheme val="minor"/>
    </font>
    <font>
      <sz val="11"/>
      <color theme="1"/>
      <name val="Calibri"/>
      <family val="2"/>
    </font>
    <font>
      <sz val="11"/>
      <color rgb="FF000000"/>
      <name val="Calibri"/>
      <family val="2"/>
    </font>
  </fonts>
  <fills count="2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rgb="FFFFFF00"/>
        <bgColor indexed="64"/>
      </patternFill>
    </fill>
    <fill>
      <patternFill patternType="solid">
        <fgColor theme="6" tint="0.59999389629810485"/>
        <bgColor indexed="64"/>
      </patternFill>
    </fill>
    <fill>
      <gradientFill degree="270">
        <stop position="0">
          <color theme="0"/>
        </stop>
        <stop position="1">
          <color theme="7" tint="0.40000610370189521"/>
        </stop>
      </gradientFill>
    </fill>
    <fill>
      <gradientFill degree="270">
        <stop position="0">
          <color theme="0"/>
        </stop>
        <stop position="1">
          <color theme="6"/>
        </stop>
      </gradientFill>
    </fill>
    <fill>
      <patternFill patternType="solid">
        <fgColor theme="5"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auto="1"/>
      </patternFill>
    </fill>
    <fill>
      <patternFill patternType="solid">
        <fgColor theme="4" tint="-0.249977111117893"/>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bgColor indexed="64"/>
      </patternFill>
    </fill>
  </fills>
  <borders count="58">
    <border>
      <left/>
      <right/>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hair">
        <color auto="1"/>
      </bottom>
      <diagonal/>
    </border>
    <border>
      <left/>
      <right/>
      <top style="hair">
        <color indexed="64"/>
      </top>
      <bottom style="hair">
        <color indexed="64"/>
      </bottom>
      <diagonal/>
    </border>
    <border>
      <left/>
      <right/>
      <top style="hair">
        <color auto="1"/>
      </top>
      <bottom/>
      <diagonal/>
    </border>
    <border>
      <left style="thin">
        <color indexed="64"/>
      </left>
      <right/>
      <top style="medium">
        <color auto="1"/>
      </top>
      <bottom/>
      <diagonal/>
    </border>
    <border>
      <left style="thin">
        <color auto="1"/>
      </left>
      <right/>
      <top/>
      <bottom style="medium">
        <color indexed="64"/>
      </bottom>
      <diagonal/>
    </border>
    <border>
      <left style="medium">
        <color indexed="64"/>
      </left>
      <right style="thin">
        <color auto="1"/>
      </right>
      <top/>
      <bottom/>
      <diagonal/>
    </border>
    <border>
      <left/>
      <right style="thin">
        <color auto="1"/>
      </right>
      <top/>
      <bottom style="medium">
        <color indexed="64"/>
      </bottom>
      <diagonal/>
    </border>
    <border>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medium">
        <color indexed="64"/>
      </right>
      <top style="medium">
        <color indexed="64"/>
      </top>
      <bottom/>
      <diagonal/>
    </border>
    <border>
      <left style="medium">
        <color rgb="FFFF0000"/>
      </left>
      <right style="medium">
        <color indexed="64"/>
      </right>
      <top style="medium">
        <color rgb="FFFF0000"/>
      </top>
      <bottom style="medium">
        <color rgb="FFFF0000"/>
      </bottom>
      <diagonal/>
    </border>
    <border>
      <left style="thin">
        <color auto="1"/>
      </left>
      <right/>
      <top style="medium">
        <color rgb="FFFF0000"/>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indexed="64"/>
      </bottom>
      <diagonal/>
    </border>
    <border>
      <left style="thin">
        <color auto="1"/>
      </left>
      <right/>
      <top style="hair">
        <color auto="1"/>
      </top>
      <bottom/>
      <diagonal/>
    </border>
    <border>
      <left style="thin">
        <color auto="1"/>
      </left>
      <right/>
      <top style="medium">
        <color indexed="64"/>
      </top>
      <bottom style="hair">
        <color auto="1"/>
      </bottom>
      <diagonal/>
    </border>
    <border>
      <left style="thin">
        <color auto="1"/>
      </left>
      <right/>
      <top style="medium">
        <color rgb="FFFF0000"/>
      </top>
      <bottom style="hair">
        <color theme="1"/>
      </bottom>
      <diagonal/>
    </border>
    <border>
      <left style="thin">
        <color auto="1"/>
      </left>
      <right/>
      <top style="hair">
        <color theme="1"/>
      </top>
      <bottom style="hair">
        <color theme="1"/>
      </bottom>
      <diagonal/>
    </border>
    <border>
      <left/>
      <right/>
      <top style="hair">
        <color theme="1"/>
      </top>
      <bottom style="hair">
        <color theme="1"/>
      </bottom>
      <diagonal/>
    </border>
    <border>
      <left/>
      <right/>
      <top style="hair">
        <color theme="1"/>
      </top>
      <bottom style="medium">
        <color auto="1"/>
      </bottom>
      <diagonal/>
    </border>
    <border>
      <left style="medium">
        <color indexed="64"/>
      </left>
      <right style="medium">
        <color indexed="64"/>
      </right>
      <top/>
      <bottom style="medium">
        <color auto="1"/>
      </bottom>
      <diagonal/>
    </border>
    <border>
      <left/>
      <right/>
      <top style="thick">
        <color auto="1"/>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medium">
        <color indexed="64"/>
      </left>
      <right/>
      <top style="thick">
        <color auto="1"/>
      </top>
      <bottom style="dotted">
        <color auto="1"/>
      </bottom>
      <diagonal/>
    </border>
    <border>
      <left/>
      <right style="medium">
        <color indexed="64"/>
      </right>
      <top style="thick">
        <color auto="1"/>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thin">
        <color indexed="64"/>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medium">
        <color indexed="64"/>
      </top>
      <bottom style="medium">
        <color rgb="FFFF0000"/>
      </bottom>
      <diagonal/>
    </border>
    <border>
      <left/>
      <right style="thin">
        <color auto="1"/>
      </right>
      <top style="medium">
        <color indexed="64"/>
      </top>
      <bottom style="medium">
        <color rgb="FFFF0000"/>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xf numFmtId="0" fontId="3" fillId="4" borderId="0" applyNumberFormat="0" applyBorder="0" applyAlignment="0" applyProtection="0"/>
    <xf numFmtId="0" fontId="6" fillId="5" borderId="0" applyNumberFormat="0" applyBorder="0" applyAlignment="0" applyProtection="0"/>
    <xf numFmtId="0" fontId="3" fillId="6" borderId="0" applyNumberFormat="0" applyBorder="0" applyAlignment="0" applyProtection="0"/>
    <xf numFmtId="9" fontId="3" fillId="0" borderId="0" applyFont="0" applyFill="0" applyBorder="0" applyAlignment="0" applyProtection="0"/>
    <xf numFmtId="0" fontId="2" fillId="0" borderId="0" applyNumberFormat="0" applyFill="0" applyBorder="0" applyAlignment="0" applyProtection="0"/>
    <xf numFmtId="0" fontId="35" fillId="0" borderId="0"/>
  </cellStyleXfs>
  <cellXfs count="367">
    <xf numFmtId="0" fontId="0" fillId="0" borderId="0" xfId="0"/>
    <xf numFmtId="0" fontId="1" fillId="0" borderId="0" xfId="0" applyFont="1"/>
    <xf numFmtId="0" fontId="8" fillId="2" borderId="3" xfId="0" applyFont="1" applyFill="1" applyBorder="1" applyAlignment="1">
      <alignment horizontal="center" vertical="center"/>
    </xf>
    <xf numFmtId="0" fontId="0" fillId="0" borderId="0" xfId="0" applyFont="1"/>
    <xf numFmtId="0" fontId="1" fillId="0" borderId="0" xfId="0" applyFont="1" applyProtection="1"/>
    <xf numFmtId="0" fontId="0" fillId="0" borderId="0" xfId="0" applyProtection="1"/>
    <xf numFmtId="0" fontId="0" fillId="0" borderId="0" xfId="0" applyBorder="1" applyProtection="1"/>
    <xf numFmtId="0" fontId="1" fillId="0" borderId="4" xfId="0" applyFont="1" applyBorder="1" applyProtection="1"/>
    <xf numFmtId="0" fontId="1" fillId="11" borderId="5" xfId="0" applyFont="1" applyFill="1" applyBorder="1" applyAlignment="1" applyProtection="1">
      <alignment horizontal="center" wrapText="1"/>
    </xf>
    <xf numFmtId="0" fontId="1" fillId="0" borderId="5" xfId="0" applyFont="1" applyBorder="1" applyAlignment="1" applyProtection="1">
      <alignment horizontal="center" wrapText="1"/>
    </xf>
    <xf numFmtId="0" fontId="1" fillId="0" borderId="0" xfId="0" applyFont="1" applyBorder="1" applyAlignment="1" applyProtection="1">
      <alignment horizontal="center" wrapText="1"/>
    </xf>
    <xf numFmtId="0" fontId="0" fillId="0" borderId="7" xfId="0" applyBorder="1" applyProtection="1"/>
    <xf numFmtId="168" fontId="0" fillId="0" borderId="0" xfId="0" applyNumberFormat="1" applyBorder="1" applyAlignment="1" applyProtection="1">
      <alignment horizontal="center"/>
    </xf>
    <xf numFmtId="167" fontId="0" fillId="0" borderId="0" xfId="0" applyNumberFormat="1" applyBorder="1" applyAlignment="1" applyProtection="1">
      <alignment horizontal="center"/>
    </xf>
    <xf numFmtId="0" fontId="8" fillId="0" borderId="7" xfId="6" applyFont="1" applyFill="1" applyBorder="1" applyAlignment="1" applyProtection="1">
      <alignment vertical="center"/>
    </xf>
    <xf numFmtId="167" fontId="0" fillId="8" borderId="0" xfId="0" applyNumberFormat="1" applyFill="1" applyBorder="1" applyAlignment="1" applyProtection="1">
      <alignment horizontal="center"/>
    </xf>
    <xf numFmtId="0" fontId="7" fillId="0" borderId="7" xfId="0" applyFont="1" applyBorder="1" applyAlignment="1" applyProtection="1">
      <alignment horizontal="right"/>
    </xf>
    <xf numFmtId="0" fontId="7" fillId="0" borderId="7" xfId="0" applyFont="1" applyFill="1" applyBorder="1" applyAlignment="1" applyProtection="1">
      <alignment horizontal="right"/>
    </xf>
    <xf numFmtId="0" fontId="8" fillId="6" borderId="1" xfId="6" applyFont="1" applyBorder="1" applyAlignment="1" applyProtection="1">
      <alignment horizontal="right"/>
    </xf>
    <xf numFmtId="0" fontId="1" fillId="11" borderId="0" xfId="0" applyFont="1" applyFill="1" applyBorder="1" applyAlignment="1" applyProtection="1">
      <alignment horizontal="center" wrapText="1"/>
    </xf>
    <xf numFmtId="0" fontId="20" fillId="0" borderId="0" xfId="0" applyFont="1" applyAlignment="1">
      <alignment vertical="top"/>
    </xf>
    <xf numFmtId="0" fontId="0" fillId="0" borderId="0" xfId="0" applyAlignment="1">
      <alignment vertical="top"/>
    </xf>
    <xf numFmtId="0" fontId="20" fillId="0" borderId="0" xfId="0" applyFont="1" applyAlignment="1">
      <alignment vertical="center"/>
    </xf>
    <xf numFmtId="0" fontId="2" fillId="0" borderId="0" xfId="8" applyAlignment="1">
      <alignment vertical="top"/>
    </xf>
    <xf numFmtId="0" fontId="0" fillId="18" borderId="0" xfId="0" applyFill="1"/>
    <xf numFmtId="0" fontId="9" fillId="0" borderId="0" xfId="1" applyNumberFormat="1" applyFont="1" applyFill="1" applyBorder="1" applyAlignment="1" applyProtection="1">
      <alignment vertical="center"/>
      <protection locked="0"/>
    </xf>
    <xf numFmtId="9" fontId="0" fillId="2" borderId="8" xfId="7" applyFont="1" applyFill="1" applyBorder="1" applyProtection="1">
      <protection locked="0"/>
    </xf>
    <xf numFmtId="44" fontId="0" fillId="2" borderId="8" xfId="2" applyFont="1" applyFill="1" applyBorder="1" applyProtection="1">
      <protection locked="0"/>
    </xf>
    <xf numFmtId="44" fontId="0" fillId="2" borderId="11" xfId="2" applyFont="1" applyFill="1" applyBorder="1" applyProtection="1">
      <protection locked="0"/>
    </xf>
    <xf numFmtId="44" fontId="8" fillId="2" borderId="3" xfId="2" applyFont="1" applyFill="1" applyBorder="1" applyAlignment="1" applyProtection="1">
      <alignment horizontal="center" vertical="center"/>
      <protection locked="0"/>
    </xf>
    <xf numFmtId="44" fontId="8" fillId="16" borderId="2" xfId="2" applyNumberFormat="1" applyFont="1" applyFill="1" applyBorder="1" applyAlignment="1" applyProtection="1">
      <alignment horizontal="center" vertical="center"/>
      <protection locked="0"/>
    </xf>
    <xf numFmtId="44" fontId="0" fillId="2" borderId="8" xfId="2" applyNumberFormat="1" applyFont="1" applyFill="1" applyBorder="1" applyProtection="1">
      <protection locked="0"/>
    </xf>
    <xf numFmtId="0" fontId="9" fillId="2" borderId="26" xfId="1" applyNumberFormat="1"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wrapText="1"/>
      <protection locked="0"/>
    </xf>
    <xf numFmtId="0" fontId="20" fillId="2" borderId="32" xfId="0" applyFont="1" applyFill="1" applyBorder="1" applyAlignment="1" applyProtection="1">
      <alignment horizontal="center" vertical="center"/>
      <protection locked="0"/>
    </xf>
    <xf numFmtId="1" fontId="0" fillId="0" borderId="0" xfId="0" applyNumberFormat="1" applyBorder="1" applyAlignment="1" applyProtection="1"/>
    <xf numFmtId="165" fontId="0" fillId="0" borderId="0" xfId="2" applyNumberFormat="1" applyFont="1" applyBorder="1" applyAlignment="1" applyProtection="1"/>
    <xf numFmtId="164" fontId="0" fillId="0" borderId="0" xfId="2" applyNumberFormat="1" applyFont="1" applyBorder="1" applyAlignment="1" applyProtection="1"/>
    <xf numFmtId="44" fontId="8" fillId="2" borderId="33" xfId="2" applyFont="1" applyFill="1" applyBorder="1" applyAlignment="1" applyProtection="1">
      <alignment horizontal="center" vertical="center"/>
      <protection locked="0"/>
    </xf>
    <xf numFmtId="44" fontId="8" fillId="2" borderId="34" xfId="2" applyFont="1" applyFill="1" applyBorder="1" applyAlignment="1" applyProtection="1">
      <alignment horizontal="center" vertical="center"/>
      <protection locked="0"/>
    </xf>
    <xf numFmtId="4" fontId="10" fillId="2" borderId="34" xfId="0" applyNumberFormat="1" applyFont="1" applyFill="1" applyBorder="1" applyAlignment="1" applyProtection="1">
      <alignment horizontal="center" vertical="center"/>
      <protection locked="0"/>
    </xf>
    <xf numFmtId="4" fontId="8" fillId="2" borderId="34" xfId="0" applyNumberFormat="1" applyFont="1" applyFill="1" applyBorder="1" applyAlignment="1" applyProtection="1">
      <alignment horizontal="center" vertical="center"/>
      <protection locked="0"/>
    </xf>
    <xf numFmtId="44" fontId="8" fillId="2" borderId="35" xfId="2" applyFont="1" applyFill="1" applyBorder="1" applyAlignment="1" applyProtection="1">
      <alignment horizontal="center" vertical="center"/>
      <protection locked="0"/>
    </xf>
    <xf numFmtId="4" fontId="8" fillId="2" borderId="36" xfId="0" applyNumberFormat="1" applyFont="1" applyFill="1" applyBorder="1" applyAlignment="1" applyProtection="1">
      <alignment horizontal="center" vertical="center"/>
      <protection locked="0"/>
    </xf>
    <xf numFmtId="44" fontId="8" fillId="2" borderId="37" xfId="2" applyFont="1" applyFill="1" applyBorder="1" applyAlignment="1" applyProtection="1">
      <alignment horizontal="center" vertical="center"/>
      <protection locked="0"/>
    </xf>
    <xf numFmtId="44" fontId="8" fillId="2" borderId="38" xfId="2" applyFont="1" applyFill="1" applyBorder="1" applyAlignment="1" applyProtection="1">
      <alignment horizontal="center" vertical="center"/>
      <protection locked="0"/>
    </xf>
    <xf numFmtId="44" fontId="8" fillId="2" borderId="39" xfId="2" applyFont="1" applyFill="1" applyBorder="1" applyAlignment="1" applyProtection="1">
      <alignment horizontal="center" vertical="center"/>
      <protection locked="0"/>
    </xf>
    <xf numFmtId="4" fontId="10" fillId="2" borderId="39" xfId="0" applyNumberFormat="1" applyFont="1" applyFill="1" applyBorder="1" applyAlignment="1" applyProtection="1">
      <alignment horizontal="center" vertical="center"/>
      <protection locked="0"/>
    </xf>
    <xf numFmtId="4" fontId="8" fillId="2" borderId="40" xfId="0" applyNumberFormat="1" applyFont="1" applyFill="1" applyBorder="1" applyAlignment="1" applyProtection="1">
      <alignment horizontal="center" vertical="center"/>
      <protection locked="0"/>
    </xf>
    <xf numFmtId="4" fontId="8" fillId="2" borderId="41" xfId="0" applyNumberFormat="1" applyFont="1" applyFill="1" applyBorder="1" applyAlignment="1" applyProtection="1">
      <alignment horizontal="center" vertical="center"/>
      <protection locked="0"/>
    </xf>
    <xf numFmtId="44" fontId="8" fillId="2" borderId="36" xfId="2" applyFont="1" applyFill="1" applyBorder="1" applyAlignment="1" applyProtection="1">
      <alignment horizontal="center" vertical="center"/>
      <protection locked="0"/>
    </xf>
    <xf numFmtId="0" fontId="8" fillId="0" borderId="0" xfId="6" applyFont="1" applyFill="1" applyBorder="1" applyAlignment="1" applyProtection="1">
      <alignment vertical="center"/>
    </xf>
    <xf numFmtId="0" fontId="7" fillId="0" borderId="0" xfId="0" applyFont="1" applyFill="1" applyBorder="1" applyAlignment="1" applyProtection="1">
      <alignment horizontal="right"/>
    </xf>
    <xf numFmtId="0" fontId="1" fillId="0" borderId="0" xfId="0" applyFont="1" applyFill="1" applyProtection="1"/>
    <xf numFmtId="0" fontId="1" fillId="0" borderId="5" xfId="0" applyFont="1" applyFill="1" applyBorder="1" applyProtection="1"/>
    <xf numFmtId="0" fontId="0" fillId="0" borderId="0" xfId="0" applyFill="1" applyBorder="1" applyProtection="1"/>
    <xf numFmtId="0" fontId="8" fillId="0" borderId="0" xfId="6" applyFont="1" applyFill="1" applyBorder="1" applyAlignment="1" applyProtection="1">
      <alignment horizontal="right"/>
    </xf>
    <xf numFmtId="1" fontId="26" fillId="20" borderId="0" xfId="0" applyNumberFormat="1" applyFont="1" applyFill="1" applyBorder="1" applyAlignment="1" applyProtection="1">
      <alignment horizontal="center" vertical="center"/>
      <protection locked="0"/>
    </xf>
    <xf numFmtId="0" fontId="0" fillId="0" borderId="0" xfId="0" applyFill="1"/>
    <xf numFmtId="0" fontId="0" fillId="0" borderId="0" xfId="0" applyBorder="1"/>
    <xf numFmtId="0" fontId="8" fillId="0" borderId="0" xfId="6" applyFont="1" applyFill="1" applyBorder="1" applyAlignment="1">
      <alignment horizontal="right"/>
    </xf>
    <xf numFmtId="0" fontId="2" fillId="0" borderId="0" xfId="8"/>
    <xf numFmtId="0" fontId="0" fillId="0" borderId="0" xfId="0" applyFill="1" applyBorder="1"/>
    <xf numFmtId="0" fontId="9" fillId="2" borderId="25" xfId="1" applyNumberFormat="1" applyFont="1" applyFill="1" applyBorder="1" applyAlignment="1" applyProtection="1">
      <alignment vertical="center"/>
      <protection locked="0"/>
    </xf>
    <xf numFmtId="0" fontId="0" fillId="0" borderId="0" xfId="0" applyAlignment="1">
      <alignment horizontal="left" vertical="top"/>
    </xf>
    <xf numFmtId="0" fontId="0" fillId="0" borderId="0" xfId="0" applyFont="1" applyAlignment="1">
      <alignment vertical="top"/>
    </xf>
    <xf numFmtId="0" fontId="13" fillId="0" borderId="0" xfId="0" applyFont="1" applyAlignment="1">
      <alignment horizontal="left" vertical="top"/>
    </xf>
    <xf numFmtId="0" fontId="13" fillId="0" borderId="0" xfId="0" applyFont="1" applyAlignment="1">
      <alignment vertical="top"/>
    </xf>
    <xf numFmtId="0" fontId="0" fillId="0" borderId="0" xfId="0" applyAlignment="1">
      <alignment horizontal="left"/>
    </xf>
    <xf numFmtId="0" fontId="31" fillId="0" borderId="0" xfId="1" applyNumberFormat="1" applyFont="1" applyFill="1" applyBorder="1" applyAlignment="1" applyProtection="1">
      <alignment vertical="center"/>
      <protection locked="0"/>
    </xf>
    <xf numFmtId="0" fontId="9" fillId="0" borderId="0" xfId="1" applyNumberFormat="1" applyFont="1" applyFill="1" applyBorder="1" applyAlignment="1" applyProtection="1">
      <alignment vertical="center"/>
    </xf>
    <xf numFmtId="0" fontId="0" fillId="0" borderId="0" xfId="0" applyBorder="1" applyAlignment="1" applyProtection="1"/>
    <xf numFmtId="0" fontId="0" fillId="0" borderId="0" xfId="0" applyAlignment="1" applyProtection="1"/>
    <xf numFmtId="0" fontId="0" fillId="0" borderId="0" xfId="0" applyFill="1" applyAlignment="1" applyProtection="1"/>
    <xf numFmtId="0" fontId="17" fillId="0" borderId="7" xfId="0" applyFont="1" applyFill="1" applyBorder="1" applyAlignment="1" applyProtection="1">
      <alignment horizontal="center"/>
    </xf>
    <xf numFmtId="0" fontId="17" fillId="0" borderId="0" xfId="0" applyFont="1" applyFill="1" applyBorder="1" applyAlignment="1" applyProtection="1">
      <alignment horizontal="center"/>
    </xf>
    <xf numFmtId="0" fontId="17" fillId="0" borderId="0" xfId="0" applyFont="1" applyFill="1" applyBorder="1" applyAlignment="1" applyProtection="1">
      <alignment horizontal="center" wrapText="1"/>
    </xf>
    <xf numFmtId="0" fontId="0" fillId="0" borderId="0" xfId="0" applyAlignment="1" applyProtection="1">
      <alignment horizontal="center" vertical="center"/>
    </xf>
    <xf numFmtId="169" fontId="13" fillId="16" borderId="0" xfId="2" applyNumberFormat="1" applyFont="1" applyFill="1" applyBorder="1" applyAlignment="1" applyProtection="1">
      <alignment horizontal="center" vertical="center"/>
    </xf>
    <xf numFmtId="0" fontId="13" fillId="0" borderId="7" xfId="0" applyFont="1" applyFill="1" applyBorder="1" applyAlignment="1" applyProtection="1">
      <alignment horizontal="right"/>
    </xf>
    <xf numFmtId="44" fontId="13" fillId="16" borderId="0" xfId="2" applyFont="1" applyFill="1" applyBorder="1" applyAlignment="1" applyProtection="1">
      <alignment horizontal="center" vertical="center"/>
    </xf>
    <xf numFmtId="0" fontId="13" fillId="0" borderId="0" xfId="0" applyFont="1" applyFill="1" applyBorder="1" applyAlignment="1" applyProtection="1">
      <alignment vertical="top" wrapText="1"/>
    </xf>
    <xf numFmtId="0" fontId="18" fillId="0" borderId="7" xfId="0" applyFont="1" applyFill="1" applyBorder="1" applyAlignment="1" applyProtection="1">
      <alignment vertical="top" wrapText="1"/>
    </xf>
    <xf numFmtId="0" fontId="18" fillId="0" borderId="0" xfId="0" applyFont="1" applyFill="1" applyBorder="1" applyAlignment="1" applyProtection="1">
      <alignment vertical="top" wrapText="1"/>
    </xf>
    <xf numFmtId="0" fontId="18" fillId="0" borderId="0" xfId="0" applyFont="1" applyFill="1" applyBorder="1" applyAlignment="1" applyProtection="1">
      <alignment horizontal="center" vertical="top" wrapText="1"/>
    </xf>
    <xf numFmtId="0" fontId="0" fillId="0" borderId="8" xfId="0" applyFill="1" applyBorder="1" applyProtection="1"/>
    <xf numFmtId="0" fontId="13" fillId="0" borderId="7" xfId="0" applyFont="1" applyFill="1" applyBorder="1" applyAlignment="1" applyProtection="1">
      <alignment horizontal="left" vertical="top"/>
    </xf>
    <xf numFmtId="0" fontId="13" fillId="0" borderId="0" xfId="0" applyFont="1" applyFill="1" applyBorder="1" applyAlignment="1" applyProtection="1">
      <alignment horizontal="left" vertical="top"/>
    </xf>
    <xf numFmtId="0" fontId="18" fillId="0" borderId="7" xfId="0" applyFont="1" applyFill="1" applyBorder="1" applyAlignment="1" applyProtection="1">
      <alignment horizontal="left" vertical="top"/>
    </xf>
    <xf numFmtId="0" fontId="18" fillId="0" borderId="0" xfId="0" applyFont="1" applyFill="1" applyBorder="1" applyAlignment="1" applyProtection="1">
      <alignment horizontal="left" vertical="top"/>
    </xf>
    <xf numFmtId="0" fontId="17" fillId="0" borderId="0" xfId="0" applyFont="1" applyFill="1" applyBorder="1" applyAlignment="1" applyProtection="1">
      <alignment vertical="top" wrapText="1"/>
    </xf>
    <xf numFmtId="169" fontId="13" fillId="0" borderId="0" xfId="0" applyNumberFormat="1" applyFont="1" applyFill="1" applyBorder="1" applyAlignment="1" applyProtection="1">
      <alignment horizontal="center" vertical="center" wrapText="1"/>
    </xf>
    <xf numFmtId="169" fontId="13" fillId="0" borderId="10" xfId="0" applyNumberFormat="1" applyFont="1" applyFill="1" applyBorder="1" applyAlignment="1" applyProtection="1">
      <alignment horizontal="center" vertical="center" wrapText="1"/>
    </xf>
    <xf numFmtId="0" fontId="18" fillId="0" borderId="10" xfId="0" applyFont="1" applyFill="1" applyBorder="1" applyAlignment="1" applyProtection="1">
      <alignment horizontal="center" vertical="top" wrapText="1"/>
    </xf>
    <xf numFmtId="0" fontId="0" fillId="0" borderId="0" xfId="0" applyFill="1" applyBorder="1" applyAlignment="1" applyProtection="1"/>
    <xf numFmtId="0" fontId="0" fillId="0" borderId="0" xfId="0" quotePrefix="1" applyFill="1" applyBorder="1" applyAlignment="1" applyProtection="1"/>
    <xf numFmtId="44" fontId="22" fillId="3" borderId="0" xfId="0" applyNumberFormat="1" applyFont="1" applyFill="1" applyProtection="1"/>
    <xf numFmtId="44" fontId="22" fillId="0" borderId="0" xfId="0" applyNumberFormat="1" applyFont="1" applyFill="1" applyProtection="1"/>
    <xf numFmtId="0" fontId="22" fillId="0" borderId="0" xfId="0" applyFont="1" applyFill="1" applyAlignment="1" applyProtection="1"/>
    <xf numFmtId="0" fontId="30" fillId="0" borderId="0" xfId="0" applyFont="1" applyFill="1" applyAlignment="1" applyProtection="1">
      <alignment horizontal="right"/>
    </xf>
    <xf numFmtId="1" fontId="26" fillId="20" borderId="0" xfId="0" applyNumberFormat="1" applyFont="1" applyFill="1" applyBorder="1" applyAlignment="1" applyProtection="1">
      <alignment horizontal="center" vertical="center"/>
    </xf>
    <xf numFmtId="168" fontId="30" fillId="0" borderId="0" xfId="0" applyNumberFormat="1" applyFont="1" applyFill="1" applyBorder="1" applyAlignment="1" applyProtection="1">
      <alignment horizontal="right" vertical="center"/>
    </xf>
    <xf numFmtId="0" fontId="15" fillId="13" borderId="0" xfId="3" applyFont="1" applyFill="1" applyBorder="1" applyAlignment="1" applyProtection="1">
      <alignment horizontal="center" vertical="center" wrapText="1"/>
    </xf>
    <xf numFmtId="0" fontId="15" fillId="0" borderId="0" xfId="3" applyFont="1" applyFill="1" applyBorder="1" applyAlignment="1" applyProtection="1">
      <alignment vertical="center"/>
    </xf>
    <xf numFmtId="168" fontId="4" fillId="0" borderId="0" xfId="0" applyNumberFormat="1"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5" fillId="0" borderId="10" xfId="3" applyFont="1" applyFill="1" applyBorder="1" applyAlignment="1" applyProtection="1">
      <alignment horizontal="center" vertical="center" wrapText="1"/>
    </xf>
    <xf numFmtId="0" fontId="15" fillId="13" borderId="10" xfId="3" applyFont="1" applyFill="1" applyBorder="1" applyAlignment="1" applyProtection="1">
      <alignment horizontal="center" vertical="center" wrapText="1"/>
    </xf>
    <xf numFmtId="0" fontId="15" fillId="0" borderId="10" xfId="3" applyFont="1" applyFill="1" applyBorder="1" applyAlignment="1" applyProtection="1">
      <alignment vertical="center"/>
    </xf>
    <xf numFmtId="0" fontId="0" fillId="0" borderId="10" xfId="0" applyBorder="1" applyProtection="1"/>
    <xf numFmtId="0" fontId="9" fillId="0" borderId="10" xfId="1" applyNumberFormat="1" applyFont="1" applyFill="1" applyBorder="1" applyAlignment="1" applyProtection="1">
      <alignment vertical="center"/>
    </xf>
    <xf numFmtId="0" fontId="14" fillId="15" borderId="5" xfId="3" applyFont="1" applyFill="1" applyBorder="1" applyAlignment="1" applyProtection="1">
      <alignment horizontal="center" vertical="center"/>
    </xf>
    <xf numFmtId="0" fontId="0" fillId="0" borderId="11" xfId="0" applyBorder="1" applyProtection="1"/>
    <xf numFmtId="0" fontId="23" fillId="10" borderId="20" xfId="5" applyFont="1" applyFill="1" applyBorder="1" applyAlignment="1" applyProtection="1">
      <alignment horizontal="left"/>
    </xf>
    <xf numFmtId="0" fontId="23" fillId="0" borderId="2" xfId="5" applyFont="1" applyFill="1" applyBorder="1" applyAlignment="1" applyProtection="1">
      <alignment horizontal="left"/>
    </xf>
    <xf numFmtId="0" fontId="24" fillId="9" borderId="22" xfId="4" applyFont="1" applyFill="1" applyBorder="1" applyAlignment="1" applyProtection="1">
      <alignment horizontal="center" vertical="center"/>
    </xf>
    <xf numFmtId="0" fontId="24" fillId="0" borderId="22" xfId="4" applyFont="1" applyFill="1" applyBorder="1" applyAlignment="1" applyProtection="1">
      <alignment horizontal="center" vertical="center"/>
    </xf>
    <xf numFmtId="0" fontId="11" fillId="19" borderId="5" xfId="4" applyFont="1" applyFill="1" applyBorder="1" applyAlignment="1" applyProtection="1">
      <alignment horizontal="center" vertical="center"/>
    </xf>
    <xf numFmtId="168" fontId="0" fillId="0" borderId="7" xfId="0" applyNumberFormat="1" applyFill="1" applyBorder="1" applyAlignment="1" applyProtection="1">
      <alignment horizontal="center"/>
    </xf>
    <xf numFmtId="0" fontId="11" fillId="9" borderId="31" xfId="4" applyFont="1" applyFill="1" applyBorder="1" applyAlignment="1" applyProtection="1">
      <alignment horizontal="center" vertical="center"/>
    </xf>
    <xf numFmtId="0" fontId="0" fillId="0" borderId="0" xfId="0" applyFill="1" applyBorder="1" applyAlignment="1" applyProtection="1">
      <alignment horizontal="center"/>
    </xf>
    <xf numFmtId="0" fontId="8" fillId="6" borderId="7" xfId="6" applyFont="1" applyBorder="1" applyAlignment="1" applyProtection="1">
      <alignment vertical="center"/>
    </xf>
    <xf numFmtId="0" fontId="9" fillId="13" borderId="0" xfId="1" applyNumberFormat="1" applyFont="1" applyFill="1" applyBorder="1" applyAlignment="1" applyProtection="1">
      <alignment horizontal="center" vertical="center"/>
    </xf>
    <xf numFmtId="0" fontId="7" fillId="0" borderId="7" xfId="0" applyFont="1" applyBorder="1" applyAlignment="1" applyProtection="1">
      <alignment horizontal="right" vertical="center"/>
    </xf>
    <xf numFmtId="0" fontId="8" fillId="6" borderId="17" xfId="6" applyFont="1" applyBorder="1" applyAlignment="1" applyProtection="1">
      <alignment horizontal="left"/>
    </xf>
    <xf numFmtId="0" fontId="8" fillId="6" borderId="20" xfId="6" applyFont="1" applyBorder="1" applyAlignment="1" applyProtection="1">
      <alignment horizontal="left"/>
    </xf>
    <xf numFmtId="0" fontId="8" fillId="0" borderId="0" xfId="6" applyFont="1" applyFill="1" applyBorder="1" applyAlignment="1" applyProtection="1">
      <alignment horizontal="left"/>
    </xf>
    <xf numFmtId="44" fontId="0" fillId="0" borderId="0" xfId="2" applyFont="1" applyFill="1" applyBorder="1" applyProtection="1"/>
    <xf numFmtId="0" fontId="8" fillId="6" borderId="17" xfId="6" applyFont="1" applyBorder="1" applyAlignment="1" applyProtection="1">
      <alignment vertical="center"/>
    </xf>
    <xf numFmtId="44" fontId="8" fillId="13" borderId="0" xfId="2" applyFont="1" applyFill="1" applyBorder="1" applyAlignment="1" applyProtection="1">
      <alignment horizontal="center" vertical="center"/>
    </xf>
    <xf numFmtId="168" fontId="0" fillId="0" borderId="0" xfId="0" applyNumberFormat="1" applyFill="1" applyBorder="1" applyAlignment="1" applyProtection="1">
      <alignment horizontal="center"/>
    </xf>
    <xf numFmtId="0" fontId="8" fillId="6" borderId="17" xfId="6" applyFont="1" applyBorder="1" applyAlignment="1" applyProtection="1">
      <alignment horizontal="right"/>
    </xf>
    <xf numFmtId="4" fontId="10" fillId="13" borderId="0" xfId="0" applyNumberFormat="1" applyFont="1" applyFill="1" applyBorder="1" applyAlignment="1" applyProtection="1">
      <alignment horizontal="center" vertical="center"/>
    </xf>
    <xf numFmtId="0" fontId="1" fillId="0" borderId="0" xfId="0" applyFont="1" applyFill="1" applyBorder="1" applyAlignment="1" applyProtection="1"/>
    <xf numFmtId="44" fontId="2" fillId="0" borderId="0" xfId="2" applyFont="1" applyFill="1" applyBorder="1" applyAlignment="1" applyProtection="1">
      <alignment vertical="center"/>
    </xf>
    <xf numFmtId="0" fontId="8" fillId="6" borderId="7" xfId="6" applyFont="1" applyBorder="1" applyAlignment="1" applyProtection="1">
      <alignment horizontal="right" vertical="center"/>
    </xf>
    <xf numFmtId="4" fontId="8" fillId="13" borderId="0" xfId="0" applyNumberFormat="1" applyFont="1" applyFill="1" applyBorder="1" applyAlignment="1" applyProtection="1">
      <alignment horizontal="center" vertical="center"/>
    </xf>
    <xf numFmtId="0" fontId="8" fillId="6" borderId="4" xfId="6" applyFont="1" applyBorder="1" applyAlignment="1" applyProtection="1">
      <alignment vertical="center"/>
    </xf>
    <xf numFmtId="44" fontId="8" fillId="13" borderId="5" xfId="2" applyFont="1" applyFill="1" applyBorder="1" applyAlignment="1" applyProtection="1">
      <alignment horizontal="center" vertical="center"/>
    </xf>
    <xf numFmtId="4" fontId="12" fillId="13" borderId="0" xfId="0" applyNumberFormat="1" applyFont="1" applyFill="1" applyBorder="1" applyAlignment="1" applyProtection="1">
      <alignment horizontal="center" vertical="center" textRotation="135"/>
    </xf>
    <xf numFmtId="0" fontId="8" fillId="6" borderId="20" xfId="6" applyFont="1" applyBorder="1" applyAlignment="1" applyProtection="1">
      <alignment vertical="center"/>
    </xf>
    <xf numFmtId="44" fontId="8" fillId="13" borderId="10" xfId="2" applyFont="1" applyFill="1" applyBorder="1" applyAlignment="1" applyProtection="1">
      <alignment horizontal="center" vertical="center"/>
    </xf>
    <xf numFmtId="0" fontId="8" fillId="6" borderId="23" xfId="6" applyFont="1" applyBorder="1" applyAlignment="1" applyProtection="1">
      <alignment vertical="center"/>
    </xf>
    <xf numFmtId="0" fontId="8" fillId="0" borderId="5" xfId="6" applyFont="1" applyFill="1" applyBorder="1" applyAlignment="1" applyProtection="1">
      <alignment vertical="center"/>
    </xf>
    <xf numFmtId="0" fontId="8" fillId="6" borderId="24" xfId="6" applyFont="1" applyBorder="1" applyAlignment="1" applyProtection="1">
      <alignment horizontal="left"/>
    </xf>
    <xf numFmtId="4" fontId="10" fillId="16" borderId="3" xfId="0" applyNumberFormat="1" applyFont="1" applyFill="1" applyBorder="1" applyAlignment="1" applyProtection="1">
      <alignment horizontal="center" vertical="center"/>
    </xf>
    <xf numFmtId="3" fontId="10" fillId="13" borderId="0" xfId="0" applyNumberFormat="1" applyFont="1" applyFill="1" applyBorder="1" applyAlignment="1" applyProtection="1">
      <alignment horizontal="center" vertical="center"/>
    </xf>
    <xf numFmtId="0" fontId="8" fillId="6" borderId="42" xfId="6" applyFont="1" applyBorder="1" applyAlignment="1" applyProtection="1">
      <alignment horizontal="left"/>
    </xf>
    <xf numFmtId="0" fontId="8" fillId="0" borderId="10" xfId="6" applyFont="1" applyFill="1" applyBorder="1" applyAlignment="1" applyProtection="1">
      <alignment horizontal="left"/>
    </xf>
    <xf numFmtId="4" fontId="10" fillId="16" borderId="16" xfId="0" applyNumberFormat="1" applyFont="1" applyFill="1" applyBorder="1" applyAlignment="1" applyProtection="1">
      <alignment horizontal="center" vertical="center"/>
    </xf>
    <xf numFmtId="0" fontId="0" fillId="0" borderId="0" xfId="0" applyFill="1" applyProtection="1"/>
    <xf numFmtId="167" fontId="0" fillId="0" borderId="0" xfId="0" applyNumberFormat="1" applyFill="1" applyBorder="1" applyAlignment="1" applyProtection="1">
      <alignment horizontal="center"/>
    </xf>
    <xf numFmtId="0" fontId="0" fillId="12" borderId="15" xfId="0" applyFill="1" applyBorder="1" applyAlignment="1" applyProtection="1">
      <alignment horizontal="center" vertical="center" wrapText="1"/>
    </xf>
    <xf numFmtId="0" fontId="0" fillId="12" borderId="5" xfId="0" applyFill="1" applyBorder="1" applyAlignment="1" applyProtection="1">
      <alignment horizontal="center" vertical="center" wrapText="1"/>
    </xf>
    <xf numFmtId="0" fontId="0" fillId="13" borderId="5" xfId="0" applyFill="1" applyBorder="1" applyAlignment="1" applyProtection="1">
      <alignment horizontal="center" vertical="center" wrapText="1"/>
    </xf>
    <xf numFmtId="0" fontId="0" fillId="7" borderId="15" xfId="0" applyFont="1" applyFill="1" applyBorder="1" applyAlignment="1" applyProtection="1">
      <alignment horizontal="center" vertical="center" wrapText="1"/>
    </xf>
    <xf numFmtId="0" fontId="0" fillId="7" borderId="6" xfId="0" applyFont="1" applyFill="1" applyBorder="1" applyAlignment="1" applyProtection="1">
      <alignment horizontal="center" vertical="center" wrapText="1"/>
    </xf>
    <xf numFmtId="0" fontId="0" fillId="13" borderId="0" xfId="0" applyFont="1" applyFill="1" applyBorder="1" applyAlignment="1" applyProtection="1">
      <alignment horizontal="center" wrapText="1"/>
    </xf>
    <xf numFmtId="0" fontId="1" fillId="0" borderId="43" xfId="0" applyFont="1" applyFill="1" applyBorder="1" applyAlignment="1" applyProtection="1">
      <alignment horizontal="right" vertical="center"/>
    </xf>
    <xf numFmtId="164" fontId="21" fillId="16" borderId="43" xfId="2" applyNumberFormat="1" applyFont="1" applyFill="1" applyBorder="1" applyAlignment="1" applyProtection="1">
      <alignment horizontal="center"/>
    </xf>
    <xf numFmtId="164" fontId="21" fillId="13" borderId="43" xfId="2" applyNumberFormat="1" applyFont="1" applyFill="1" applyBorder="1" applyAlignment="1" applyProtection="1">
      <alignment horizontal="center"/>
    </xf>
    <xf numFmtId="168" fontId="0" fillId="13" borderId="0" xfId="0" applyNumberFormat="1" applyFill="1" applyBorder="1" applyAlignment="1" applyProtection="1">
      <alignment horizontal="center" textRotation="135" wrapText="1"/>
    </xf>
    <xf numFmtId="0" fontId="1" fillId="0" borderId="44" xfId="0" applyFont="1" applyFill="1" applyBorder="1" applyAlignment="1" applyProtection="1">
      <alignment horizontal="right" vertical="center"/>
    </xf>
    <xf numFmtId="164" fontId="21" fillId="16" borderId="44" xfId="2" applyNumberFormat="1" applyFont="1" applyFill="1" applyBorder="1" applyAlignment="1" applyProtection="1">
      <alignment horizontal="center"/>
    </xf>
    <xf numFmtId="164" fontId="21" fillId="13" borderId="44" xfId="2" applyNumberFormat="1" applyFont="1" applyFill="1" applyBorder="1" applyAlignment="1" applyProtection="1">
      <alignment horizontal="center"/>
    </xf>
    <xf numFmtId="0" fontId="0" fillId="13" borderId="44" xfId="0" applyFill="1" applyBorder="1" applyAlignment="1" applyProtection="1">
      <alignment horizontal="center" textRotation="115"/>
    </xf>
    <xf numFmtId="164" fontId="21" fillId="13" borderId="0" xfId="2" applyNumberFormat="1" applyFont="1" applyFill="1" applyBorder="1" applyAlignment="1" applyProtection="1">
      <alignment horizontal="center"/>
    </xf>
    <xf numFmtId="0" fontId="0" fillId="0" borderId="0" xfId="0" applyFont="1" applyFill="1" applyBorder="1" applyAlignment="1" applyProtection="1">
      <alignment horizontal="right"/>
    </xf>
    <xf numFmtId="0" fontId="4" fillId="0" borderId="0" xfId="0" applyFont="1" applyProtection="1"/>
    <xf numFmtId="0" fontId="0" fillId="16" borderId="0" xfId="0" applyFill="1" applyAlignment="1" applyProtection="1">
      <alignment horizontal="right"/>
    </xf>
    <xf numFmtId="0" fontId="1" fillId="16" borderId="0" xfId="0" applyFont="1" applyFill="1" applyAlignment="1" applyProtection="1">
      <alignment horizontal="right" vertical="center"/>
    </xf>
    <xf numFmtId="0" fontId="4" fillId="0" borderId="0" xfId="0" quotePrefix="1" applyFont="1" applyProtection="1"/>
    <xf numFmtId="0" fontId="0" fillId="0" borderId="0" xfId="0" applyFill="1" applyAlignment="1" applyProtection="1">
      <alignment horizontal="center" vertical="center"/>
    </xf>
    <xf numFmtId="0" fontId="1" fillId="0" borderId="0" xfId="0" applyFont="1" applyFill="1" applyAlignment="1" applyProtection="1">
      <alignment horizontal="center" vertical="center"/>
    </xf>
    <xf numFmtId="0" fontId="4" fillId="0" borderId="0" xfId="0" quotePrefix="1" applyFont="1" applyFill="1" applyProtection="1"/>
    <xf numFmtId="0" fontId="29" fillId="15" borderId="0" xfId="3" applyFont="1" applyFill="1" applyAlignment="1" applyProtection="1">
      <alignment vertical="center"/>
    </xf>
    <xf numFmtId="0" fontId="16" fillId="15" borderId="0" xfId="3" applyFont="1" applyFill="1" applyAlignment="1" applyProtection="1">
      <alignment vertical="center"/>
    </xf>
    <xf numFmtId="0" fontId="1" fillId="3" borderId="0" xfId="0" applyFont="1" applyFill="1" applyAlignment="1" applyProtection="1">
      <alignment horizontal="center" vertical="center"/>
    </xf>
    <xf numFmtId="0" fontId="4" fillId="0" borderId="0" xfId="0" applyFont="1" applyAlignment="1" applyProtection="1">
      <alignment horizontal="right" wrapText="1"/>
    </xf>
    <xf numFmtId="0" fontId="28" fillId="0" borderId="0" xfId="0" applyFont="1" applyProtection="1"/>
    <xf numFmtId="0" fontId="4" fillId="0" borderId="0" xfId="0" applyFont="1" applyBorder="1" applyAlignment="1" applyProtection="1">
      <alignment horizontal="right"/>
    </xf>
    <xf numFmtId="7" fontId="0" fillId="0" borderId="12" xfId="2" applyNumberFormat="1" applyFont="1" applyBorder="1" applyAlignment="1" applyProtection="1">
      <alignment horizontal="center" vertical="center"/>
    </xf>
    <xf numFmtId="7" fontId="0" fillId="0" borderId="13" xfId="2" applyNumberFormat="1" applyFont="1" applyBorder="1" applyAlignment="1" applyProtection="1">
      <alignment horizontal="center" vertical="center"/>
    </xf>
    <xf numFmtId="166" fontId="0" fillId="0" borderId="0" xfId="1" applyNumberFormat="1" applyFont="1" applyProtection="1"/>
    <xf numFmtId="7" fontId="0" fillId="0" borderId="14" xfId="2" applyNumberFormat="1" applyFont="1" applyBorder="1" applyAlignment="1" applyProtection="1">
      <alignment horizontal="center" vertical="center"/>
    </xf>
    <xf numFmtId="44" fontId="1" fillId="0" borderId="0" xfId="2" applyFont="1" applyAlignment="1" applyProtection="1">
      <alignment horizontal="right"/>
    </xf>
    <xf numFmtId="0" fontId="4" fillId="0" borderId="0" xfId="0" applyFont="1" applyAlignment="1" applyProtection="1">
      <alignment horizontal="right"/>
    </xf>
    <xf numFmtId="169" fontId="0" fillId="0" borderId="0" xfId="0" applyNumberFormat="1" applyAlignment="1" applyProtection="1">
      <alignment horizontal="center" vertical="center"/>
    </xf>
    <xf numFmtId="44" fontId="4" fillId="0" borderId="0" xfId="2" applyFont="1" applyAlignment="1" applyProtection="1">
      <alignment horizontal="right"/>
    </xf>
    <xf numFmtId="169" fontId="0" fillId="0" borderId="0" xfId="1" applyNumberFormat="1" applyFont="1" applyAlignment="1" applyProtection="1">
      <alignment horizontal="center" vertical="center"/>
    </xf>
    <xf numFmtId="0" fontId="13" fillId="3" borderId="0" xfId="0" applyFont="1" applyFill="1" applyProtection="1"/>
    <xf numFmtId="44" fontId="0" fillId="3" borderId="0" xfId="0" applyNumberFormat="1" applyFill="1" applyProtection="1"/>
    <xf numFmtId="0" fontId="0" fillId="3" borderId="0" xfId="0" applyFill="1" applyProtection="1"/>
    <xf numFmtId="0" fontId="1" fillId="0" borderId="0" xfId="0" applyFont="1" applyAlignment="1" applyProtection="1"/>
    <xf numFmtId="0" fontId="0" fillId="0" borderId="0" xfId="0" applyAlignment="1" applyProtection="1">
      <alignment horizontal="left"/>
    </xf>
    <xf numFmtId="0" fontId="1" fillId="0" borderId="0" xfId="0" applyFont="1" applyAlignment="1" applyProtection="1">
      <alignment horizontal="left"/>
    </xf>
    <xf numFmtId="1" fontId="26" fillId="20" borderId="0" xfId="0" applyNumberFormat="1" applyFont="1" applyFill="1" applyBorder="1" applyAlignment="1" applyProtection="1">
      <alignment horizontal="right" vertical="center"/>
    </xf>
    <xf numFmtId="0" fontId="4" fillId="0" borderId="0" xfId="0" applyFont="1" applyAlignment="1" applyProtection="1">
      <alignment horizontal="center" wrapText="1"/>
    </xf>
    <xf numFmtId="165" fontId="0" fillId="16" borderId="0" xfId="0" applyNumberFormat="1" applyFill="1" applyAlignment="1" applyProtection="1">
      <alignment horizontal="center"/>
    </xf>
    <xf numFmtId="44" fontId="4" fillId="0" borderId="0" xfId="2" applyFont="1" applyProtection="1"/>
    <xf numFmtId="165" fontId="0" fillId="16" borderId="0" xfId="2" applyNumberFormat="1" applyFont="1" applyFill="1" applyAlignment="1" applyProtection="1">
      <alignment horizontal="center"/>
    </xf>
    <xf numFmtId="9" fontId="4" fillId="0" borderId="5" xfId="0" applyNumberFormat="1" applyFont="1" applyBorder="1" applyAlignment="1" applyProtection="1">
      <alignment horizontal="center"/>
    </xf>
    <xf numFmtId="165" fontId="0" fillId="0" borderId="0" xfId="2" applyNumberFormat="1" applyFont="1" applyProtection="1"/>
    <xf numFmtId="44" fontId="7" fillId="0" borderId="5" xfId="2" applyFont="1" applyBorder="1" applyProtection="1"/>
    <xf numFmtId="166" fontId="0" fillId="0" borderId="5" xfId="1" applyNumberFormat="1" applyFont="1" applyBorder="1" applyProtection="1"/>
    <xf numFmtId="9" fontId="4" fillId="0" borderId="0" xfId="0" applyNumberFormat="1" applyFont="1" applyBorder="1" applyAlignment="1" applyProtection="1">
      <alignment horizontal="center"/>
    </xf>
    <xf numFmtId="44" fontId="7" fillId="0" borderId="0" xfId="2" applyFont="1" applyBorder="1" applyProtection="1"/>
    <xf numFmtId="166" fontId="0" fillId="0" borderId="0" xfId="1" applyNumberFormat="1" applyFont="1" applyBorder="1" applyProtection="1"/>
    <xf numFmtId="9" fontId="4" fillId="0" borderId="10" xfId="0" applyNumberFormat="1" applyFont="1" applyBorder="1" applyAlignment="1" applyProtection="1">
      <alignment horizontal="center"/>
    </xf>
    <xf numFmtId="44" fontId="0" fillId="0" borderId="0" xfId="0" applyNumberFormat="1" applyProtection="1"/>
    <xf numFmtId="44" fontId="7" fillId="0" borderId="10" xfId="2" applyFont="1" applyBorder="1" applyProtection="1"/>
    <xf numFmtId="166" fontId="0" fillId="0" borderId="10" xfId="1" applyNumberFormat="1" applyFont="1" applyBorder="1" applyProtection="1"/>
    <xf numFmtId="0" fontId="1" fillId="0" borderId="0" xfId="0" applyFont="1" applyAlignment="1" applyProtection="1">
      <alignment horizontal="right"/>
    </xf>
    <xf numFmtId="165" fontId="0" fillId="16" borderId="0" xfId="0" applyNumberFormat="1" applyFill="1" applyProtection="1"/>
    <xf numFmtId="165" fontId="0" fillId="16" borderId="0" xfId="2" applyNumberFormat="1" applyFont="1" applyFill="1" applyProtection="1"/>
    <xf numFmtId="9" fontId="0" fillId="0" borderId="5" xfId="0" applyNumberFormat="1" applyBorder="1" applyProtection="1"/>
    <xf numFmtId="9" fontId="0" fillId="0" borderId="0" xfId="0" applyNumberFormat="1" applyBorder="1" applyProtection="1"/>
    <xf numFmtId="9" fontId="0" fillId="0" borderId="10" xfId="0" applyNumberFormat="1" applyBorder="1" applyProtection="1"/>
    <xf numFmtId="1" fontId="0" fillId="2" borderId="0" xfId="1" applyNumberFormat="1" applyFont="1" applyFill="1" applyAlignment="1" applyProtection="1">
      <alignment horizontal="center" vertical="center"/>
      <protection locked="0"/>
    </xf>
    <xf numFmtId="1" fontId="0" fillId="2" borderId="0" xfId="0" applyNumberFormat="1" applyFill="1" applyAlignment="1" applyProtection="1">
      <alignment horizontal="center" vertical="center"/>
      <protection locked="0"/>
    </xf>
    <xf numFmtId="0" fontId="1" fillId="2" borderId="0" xfId="0" applyFont="1" applyFill="1" applyAlignment="1" applyProtection="1">
      <alignment horizontal="center"/>
      <protection locked="0"/>
    </xf>
    <xf numFmtId="0" fontId="1" fillId="16" borderId="0" xfId="0" applyFont="1" applyFill="1" applyAlignment="1" applyProtection="1">
      <alignment horizontal="center"/>
    </xf>
    <xf numFmtId="0" fontId="9" fillId="16" borderId="45" xfId="1" applyNumberFormat="1" applyFont="1" applyFill="1" applyBorder="1" applyAlignment="1" applyProtection="1">
      <alignment horizontal="center" vertical="center"/>
    </xf>
    <xf numFmtId="44" fontId="8" fillId="16" borderId="45" xfId="2" applyNumberFormat="1" applyFont="1" applyFill="1" applyBorder="1" applyAlignment="1" applyProtection="1">
      <alignment horizontal="center" vertical="center"/>
    </xf>
    <xf numFmtId="4" fontId="10" fillId="16" borderId="45" xfId="0" applyNumberFormat="1" applyFont="1" applyFill="1" applyBorder="1" applyAlignment="1" applyProtection="1">
      <alignment horizontal="center" vertical="center"/>
    </xf>
    <xf numFmtId="44" fontId="8" fillId="16" borderId="45" xfId="2" applyFont="1" applyFill="1" applyBorder="1" applyAlignment="1" applyProtection="1">
      <alignment horizontal="center" vertical="center"/>
    </xf>
    <xf numFmtId="4" fontId="8" fillId="16" borderId="45" xfId="0" applyNumberFormat="1" applyFont="1" applyFill="1" applyBorder="1" applyAlignment="1" applyProtection="1">
      <alignment horizontal="center" vertical="center"/>
    </xf>
    <xf numFmtId="3" fontId="10" fillId="16" borderId="45" xfId="0" applyNumberFormat="1" applyFont="1" applyFill="1" applyBorder="1" applyAlignment="1" applyProtection="1">
      <alignment horizontal="center" vertical="center"/>
    </xf>
    <xf numFmtId="44" fontId="0" fillId="0" borderId="0" xfId="2" applyFont="1" applyBorder="1" applyAlignment="1" applyProtection="1">
      <alignment horizontal="center"/>
    </xf>
    <xf numFmtId="0" fontId="0" fillId="0" borderId="46" xfId="0" applyFont="1" applyBorder="1" applyProtection="1"/>
    <xf numFmtId="0" fontId="0" fillId="0" borderId="48" xfId="0" applyFont="1" applyBorder="1" applyProtection="1"/>
    <xf numFmtId="164" fontId="21" fillId="16" borderId="49" xfId="2" applyNumberFormat="1" applyFont="1" applyFill="1" applyBorder="1" applyAlignment="1" applyProtection="1">
      <alignment horizontal="center"/>
    </xf>
    <xf numFmtId="0" fontId="1" fillId="0" borderId="48" xfId="0" applyFont="1" applyFill="1" applyBorder="1" applyAlignment="1" applyProtection="1">
      <alignment horizontal="right"/>
    </xf>
    <xf numFmtId="0" fontId="0" fillId="0" borderId="50" xfId="0" applyFont="1" applyBorder="1" applyProtection="1"/>
    <xf numFmtId="0" fontId="1" fillId="0" borderId="51" xfId="0" applyFont="1" applyFill="1" applyBorder="1" applyAlignment="1" applyProtection="1">
      <alignment horizontal="right" vertical="center"/>
    </xf>
    <xf numFmtId="0" fontId="0" fillId="13" borderId="51" xfId="0" applyFill="1" applyBorder="1" applyAlignment="1" applyProtection="1">
      <alignment horizontal="center" textRotation="115"/>
    </xf>
    <xf numFmtId="164" fontId="21" fillId="16" borderId="51" xfId="2" applyNumberFormat="1" applyFont="1" applyFill="1" applyBorder="1" applyAlignment="1" applyProtection="1">
      <alignment horizontal="center"/>
    </xf>
    <xf numFmtId="164" fontId="21" fillId="16" borderId="52" xfId="2" applyNumberFormat="1" applyFont="1" applyFill="1" applyBorder="1" applyAlignment="1" applyProtection="1">
      <alignment horizontal="center"/>
    </xf>
    <xf numFmtId="0" fontId="0" fillId="0" borderId="0" xfId="0" applyAlignment="1">
      <alignment wrapText="1"/>
    </xf>
    <xf numFmtId="0" fontId="0" fillId="0" borderId="0" xfId="0" applyAlignment="1">
      <alignment vertical="top" wrapText="1"/>
    </xf>
    <xf numFmtId="49" fontId="0" fillId="0" borderId="0" xfId="0" applyNumberFormat="1" applyAlignment="1">
      <alignment horizontal="right" vertical="top"/>
    </xf>
    <xf numFmtId="0" fontId="1" fillId="15" borderId="0" xfId="0" applyFont="1" applyFill="1"/>
    <xf numFmtId="0" fontId="1" fillId="21" borderId="0" xfId="0" applyFont="1" applyFill="1"/>
    <xf numFmtId="0" fontId="1" fillId="7" borderId="0" xfId="0" applyFont="1" applyFill="1"/>
    <xf numFmtId="0" fontId="20" fillId="0" borderId="0" xfId="0" applyFont="1" applyAlignment="1">
      <alignment horizontal="left" vertical="top"/>
    </xf>
    <xf numFmtId="0" fontId="0" fillId="22" borderId="0" xfId="0" applyFill="1"/>
    <xf numFmtId="0" fontId="0" fillId="23" borderId="0" xfId="0" applyFill="1"/>
    <xf numFmtId="0" fontId="0" fillId="2" borderId="0" xfId="0" applyFill="1"/>
    <xf numFmtId="9" fontId="0" fillId="2" borderId="0" xfId="7" applyFont="1" applyFill="1"/>
    <xf numFmtId="9" fontId="0" fillId="16" borderId="0" xfId="7" applyFont="1" applyFill="1"/>
    <xf numFmtId="0" fontId="0" fillId="0" borderId="0" xfId="0" applyAlignment="1">
      <alignment horizontal="left" indent="1"/>
    </xf>
    <xf numFmtId="9" fontId="0" fillId="0" borderId="0" xfId="7" applyFont="1"/>
    <xf numFmtId="0" fontId="1" fillId="14" borderId="0" xfId="0" applyFont="1" applyFill="1"/>
    <xf numFmtId="44" fontId="1" fillId="14" borderId="0" xfId="0" applyNumberFormat="1" applyFont="1" applyFill="1"/>
    <xf numFmtId="9" fontId="1" fillId="14" borderId="0" xfId="7" applyFont="1" applyFill="1"/>
    <xf numFmtId="0" fontId="1" fillId="14" borderId="0" xfId="0" applyFont="1" applyFill="1" applyAlignment="1">
      <alignment horizontal="left"/>
    </xf>
    <xf numFmtId="0" fontId="34" fillId="0" borderId="0" xfId="0" applyFont="1"/>
    <xf numFmtId="0" fontId="20" fillId="0" borderId="0" xfId="0" applyFont="1" applyAlignment="1">
      <alignment horizontal="left" vertical="top"/>
    </xf>
    <xf numFmtId="0" fontId="0" fillId="0" borderId="0" xfId="0" applyAlignment="1">
      <alignment horizontal="left" vertical="top" wrapText="1"/>
    </xf>
    <xf numFmtId="0" fontId="0" fillId="0" borderId="0" xfId="0" applyFont="1" applyAlignment="1">
      <alignment horizontal="left" vertical="top"/>
    </xf>
    <xf numFmtId="44" fontId="0" fillId="16" borderId="0" xfId="2" applyFont="1" applyFill="1"/>
    <xf numFmtId="0" fontId="1" fillId="2" borderId="25" xfId="0" applyFont="1" applyFill="1" applyBorder="1" applyAlignment="1" applyProtection="1">
      <alignment horizontal="center" vertical="center" wrapText="1"/>
      <protection locked="0"/>
    </xf>
    <xf numFmtId="44" fontId="0" fillId="2" borderId="0" xfId="0" applyNumberFormat="1" applyFill="1"/>
    <xf numFmtId="0" fontId="24" fillId="9" borderId="22" xfId="4" applyFont="1" applyFill="1" applyBorder="1" applyAlignment="1" applyProtection="1">
      <alignment horizontal="center" vertical="center" wrapText="1"/>
    </xf>
    <xf numFmtId="165" fontId="0" fillId="16" borderId="0" xfId="2" applyNumberFormat="1" applyFont="1" applyFill="1"/>
    <xf numFmtId="0" fontId="0" fillId="13" borderId="0" xfId="0" applyFill="1"/>
    <xf numFmtId="0" fontId="0" fillId="0" borderId="0" xfId="0" applyFill="1" applyAlignment="1">
      <alignment horizontal="left"/>
    </xf>
    <xf numFmtId="0" fontId="0" fillId="13" borderId="0" xfId="0" applyFill="1" applyAlignment="1">
      <alignment horizontal="left"/>
    </xf>
    <xf numFmtId="0" fontId="9" fillId="18" borderId="53" xfId="1" applyNumberFormat="1" applyFont="1" applyFill="1" applyBorder="1" applyAlignment="1" applyProtection="1">
      <alignment vertical="center"/>
      <protection locked="0"/>
    </xf>
    <xf numFmtId="0" fontId="9" fillId="18" borderId="54" xfId="1" applyNumberFormat="1" applyFont="1" applyFill="1" applyBorder="1" applyAlignment="1" applyProtection="1">
      <alignment vertical="center"/>
      <protection locked="0"/>
    </xf>
    <xf numFmtId="0" fontId="9" fillId="2" borderId="25" xfId="1" applyNumberFormat="1" applyFont="1" applyFill="1" applyBorder="1" applyAlignment="1" applyProtection="1">
      <alignment horizontal="center" vertical="center"/>
      <protection locked="0"/>
    </xf>
    <xf numFmtId="0" fontId="9" fillId="16" borderId="54" xfId="1" applyNumberFormat="1" applyFont="1" applyFill="1" applyBorder="1" applyAlignment="1" applyProtection="1">
      <alignment vertical="center"/>
    </xf>
    <xf numFmtId="0" fontId="9" fillId="2" borderId="55" xfId="1" applyNumberFormat="1" applyFont="1" applyFill="1" applyBorder="1" applyAlignment="1" applyProtection="1">
      <alignment vertical="center"/>
      <protection locked="0"/>
    </xf>
    <xf numFmtId="0" fontId="9" fillId="16" borderId="53" xfId="1" applyNumberFormat="1" applyFont="1" applyFill="1" applyBorder="1" applyAlignment="1" applyProtection="1">
      <alignment vertical="center"/>
    </xf>
    <xf numFmtId="0" fontId="9" fillId="16" borderId="53" xfId="1" applyNumberFormat="1" applyFont="1" applyFill="1" applyBorder="1" applyAlignment="1" applyProtection="1">
      <alignment horizontal="center" vertical="center"/>
    </xf>
    <xf numFmtId="0" fontId="0" fillId="0" borderId="0" xfId="0" applyAlignment="1"/>
    <xf numFmtId="0" fontId="1" fillId="0" borderId="0" xfId="0" applyFont="1" applyAlignment="1">
      <alignment horizontal="left"/>
    </xf>
    <xf numFmtId="9" fontId="0" fillId="13" borderId="0" xfId="7" applyFont="1" applyFill="1"/>
    <xf numFmtId="44" fontId="0" fillId="0" borderId="0" xfId="0" applyNumberFormat="1"/>
    <xf numFmtId="0" fontId="1" fillId="0" borderId="0" xfId="0" applyFont="1" applyFill="1" applyAlignment="1" applyProtection="1">
      <alignment horizontal="left"/>
    </xf>
    <xf numFmtId="0" fontId="0" fillId="0" borderId="0" xfId="0" applyAlignment="1">
      <alignment horizontal="left" vertical="top" wrapText="1"/>
    </xf>
    <xf numFmtId="0" fontId="20" fillId="0" borderId="0" xfId="0" applyFont="1" applyAlignment="1">
      <alignment horizontal="left" vertical="top"/>
    </xf>
    <xf numFmtId="0" fontId="33" fillId="24" borderId="0" xfId="0" applyFont="1" applyFill="1" applyAlignment="1">
      <alignment horizontal="center"/>
    </xf>
    <xf numFmtId="0" fontId="0" fillId="2" borderId="25" xfId="0" applyFill="1" applyBorder="1" applyAlignment="1">
      <alignment horizontal="center"/>
    </xf>
    <xf numFmtId="2" fontId="0" fillId="2" borderId="25" xfId="2" applyNumberFormat="1" applyFont="1" applyFill="1" applyBorder="1" applyAlignment="1">
      <alignment horizontal="center"/>
    </xf>
    <xf numFmtId="44" fontId="0" fillId="2" borderId="25" xfId="2" applyFont="1" applyFill="1" applyBorder="1" applyAlignment="1">
      <alignment horizontal="center"/>
    </xf>
    <xf numFmtId="44" fontId="0" fillId="2" borderId="27" xfId="2" applyFont="1" applyFill="1" applyBorder="1" applyAlignment="1">
      <alignment horizontal="center"/>
    </xf>
    <xf numFmtId="44" fontId="0" fillId="2" borderId="28" xfId="2" applyFont="1" applyFill="1" applyBorder="1" applyAlignment="1">
      <alignment horizontal="center"/>
    </xf>
    <xf numFmtId="0" fontId="24" fillId="9" borderId="56" xfId="4" applyFont="1" applyFill="1" applyBorder="1" applyAlignment="1" applyProtection="1">
      <alignment horizontal="center" vertical="center" wrapText="1"/>
    </xf>
    <xf numFmtId="0" fontId="24" fillId="9" borderId="57" xfId="4" applyFont="1" applyFill="1" applyBorder="1" applyAlignment="1" applyProtection="1">
      <alignment horizontal="center" vertical="center" wrapText="1"/>
    </xf>
    <xf numFmtId="0" fontId="13" fillId="0" borderId="7" xfId="0" applyFont="1" applyFill="1" applyBorder="1" applyAlignment="1" applyProtection="1">
      <alignment horizontal="right" wrapText="1"/>
    </xf>
    <xf numFmtId="0" fontId="13" fillId="0" borderId="0" xfId="0" applyFont="1" applyFill="1" applyBorder="1" applyAlignment="1" applyProtection="1">
      <alignment horizontal="right" wrapText="1"/>
    </xf>
    <xf numFmtId="169" fontId="13" fillId="16" borderId="0" xfId="2" applyNumberFormat="1" applyFont="1" applyFill="1" applyBorder="1" applyAlignment="1" applyProtection="1">
      <alignment horizontal="center" vertical="center"/>
    </xf>
    <xf numFmtId="169" fontId="13" fillId="16" borderId="8" xfId="2" applyNumberFormat="1" applyFont="1" applyFill="1" applyBorder="1" applyAlignment="1" applyProtection="1">
      <alignment horizontal="center" vertical="center"/>
    </xf>
    <xf numFmtId="0" fontId="18" fillId="0" borderId="0" xfId="0" applyFont="1" applyFill="1" applyBorder="1" applyAlignment="1" applyProtection="1">
      <alignment horizontal="left" vertical="top" wrapText="1"/>
    </xf>
    <xf numFmtId="0" fontId="18" fillId="0" borderId="8" xfId="0" applyFont="1" applyFill="1" applyBorder="1" applyAlignment="1" applyProtection="1">
      <alignment horizontal="left" vertical="top" wrapText="1"/>
    </xf>
    <xf numFmtId="0" fontId="18" fillId="0" borderId="10" xfId="0" applyFont="1" applyFill="1" applyBorder="1" applyAlignment="1" applyProtection="1">
      <alignment horizontal="left" vertical="top" wrapText="1"/>
    </xf>
    <xf numFmtId="0" fontId="18" fillId="0" borderId="11" xfId="0" applyFont="1" applyFill="1" applyBorder="1" applyAlignment="1" applyProtection="1">
      <alignment horizontal="left" vertical="top" wrapText="1"/>
    </xf>
    <xf numFmtId="44" fontId="22" fillId="3" borderId="4" xfId="0" applyNumberFormat="1" applyFont="1" applyFill="1" applyBorder="1" applyAlignment="1" applyProtection="1">
      <alignment horizontal="center"/>
    </xf>
    <xf numFmtId="44" fontId="22" fillId="3" borderId="19" xfId="0" applyNumberFormat="1" applyFont="1" applyFill="1" applyBorder="1" applyAlignment="1" applyProtection="1">
      <alignment horizontal="center"/>
    </xf>
    <xf numFmtId="0" fontId="13" fillId="0" borderId="0" xfId="0" applyFont="1" applyFill="1" applyBorder="1" applyAlignment="1" applyProtection="1">
      <alignment horizontal="center" vertical="top" wrapText="1"/>
    </xf>
    <xf numFmtId="0" fontId="13" fillId="0" borderId="8" xfId="0" applyFont="1" applyFill="1" applyBorder="1" applyAlignment="1" applyProtection="1">
      <alignment horizontal="center" vertical="top" wrapText="1"/>
    </xf>
    <xf numFmtId="0" fontId="13" fillId="0" borderId="7"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0" fontId="13" fillId="0" borderId="9" xfId="0" applyFont="1" applyFill="1" applyBorder="1" applyAlignment="1" applyProtection="1">
      <alignment horizontal="right" vertical="center" wrapText="1"/>
    </xf>
    <xf numFmtId="0" fontId="13" fillId="0" borderId="10" xfId="0" applyFont="1" applyFill="1" applyBorder="1" applyAlignment="1" applyProtection="1">
      <alignment horizontal="right" vertical="center" wrapText="1"/>
    </xf>
    <xf numFmtId="0" fontId="25" fillId="14" borderId="4" xfId="0" applyFont="1" applyFill="1" applyBorder="1" applyAlignment="1" applyProtection="1">
      <alignment horizontal="center" vertical="center"/>
    </xf>
    <xf numFmtId="0" fontId="25" fillId="14" borderId="6" xfId="0" applyFont="1" applyFill="1" applyBorder="1" applyAlignment="1" applyProtection="1">
      <alignment horizontal="center" vertical="center"/>
    </xf>
    <xf numFmtId="169" fontId="13" fillId="16" borderId="10" xfId="2" applyNumberFormat="1" applyFont="1" applyFill="1" applyBorder="1" applyAlignment="1" applyProtection="1">
      <alignment horizontal="center" vertical="center"/>
    </xf>
    <xf numFmtId="169" fontId="13" fillId="16" borderId="0" xfId="0" applyNumberFormat="1" applyFont="1" applyFill="1" applyBorder="1" applyAlignment="1" applyProtection="1">
      <alignment horizontal="center" vertical="center" wrapText="1"/>
    </xf>
    <xf numFmtId="169" fontId="13" fillId="16" borderId="10" xfId="0" applyNumberFormat="1" applyFont="1" applyFill="1" applyBorder="1" applyAlignment="1" applyProtection="1">
      <alignment horizontal="center" vertical="center" wrapText="1"/>
    </xf>
    <xf numFmtId="0" fontId="17" fillId="12" borderId="0" xfId="0" applyFont="1" applyFill="1" applyBorder="1" applyAlignment="1" applyProtection="1">
      <alignment horizontal="center" wrapText="1"/>
    </xf>
    <xf numFmtId="0" fontId="17" fillId="7" borderId="0" xfId="0" applyFont="1" applyFill="1" applyBorder="1" applyAlignment="1" applyProtection="1">
      <alignment horizontal="center" wrapText="1"/>
    </xf>
    <xf numFmtId="0" fontId="17" fillId="7" borderId="0" xfId="0" applyFont="1" applyFill="1" applyBorder="1" applyAlignment="1" applyProtection="1">
      <alignment horizontal="center"/>
    </xf>
    <xf numFmtId="0" fontId="1" fillId="0" borderId="4" xfId="0" applyFont="1" applyBorder="1" applyAlignment="1" applyProtection="1">
      <alignment horizontal="center" vertical="center" textRotation="90"/>
    </xf>
    <xf numFmtId="0" fontId="1" fillId="0" borderId="7" xfId="0" applyFont="1" applyBorder="1" applyAlignment="1" applyProtection="1">
      <alignment horizontal="center" vertical="center" textRotation="90"/>
    </xf>
    <xf numFmtId="0" fontId="1" fillId="0" borderId="9" xfId="0" applyFont="1" applyBorder="1" applyAlignment="1" applyProtection="1">
      <alignment horizontal="center" vertical="center" textRotation="90"/>
    </xf>
    <xf numFmtId="4" fontId="12" fillId="17" borderId="15" xfId="0" applyNumberFormat="1" applyFont="1" applyFill="1" applyBorder="1" applyAlignment="1" applyProtection="1">
      <alignment horizontal="center" vertical="center" textRotation="135"/>
    </xf>
    <xf numFmtId="4" fontId="12" fillId="17" borderId="8" xfId="0" applyNumberFormat="1" applyFont="1" applyFill="1" applyBorder="1" applyAlignment="1" applyProtection="1">
      <alignment horizontal="center" vertical="center" textRotation="135"/>
    </xf>
    <xf numFmtId="4" fontId="12" fillId="17" borderId="3" xfId="0" applyNumberFormat="1" applyFont="1" applyFill="1" applyBorder="1" applyAlignment="1" applyProtection="1">
      <alignment horizontal="center" vertical="center" textRotation="135"/>
    </xf>
    <xf numFmtId="4" fontId="12" fillId="17" borderId="16" xfId="0" applyNumberFormat="1" applyFont="1" applyFill="1" applyBorder="1" applyAlignment="1" applyProtection="1">
      <alignment horizontal="center" vertical="center" textRotation="135"/>
    </xf>
    <xf numFmtId="0" fontId="25" fillId="12" borderId="4" xfId="0" applyFont="1" applyFill="1" applyBorder="1" applyAlignment="1" applyProtection="1">
      <alignment horizontal="center" vertical="center" wrapText="1"/>
    </xf>
    <xf numFmtId="0" fontId="25" fillId="12" borderId="6" xfId="0" applyFont="1" applyFill="1" applyBorder="1" applyAlignment="1" applyProtection="1">
      <alignment horizontal="center" vertical="center" wrapText="1"/>
    </xf>
    <xf numFmtId="0" fontId="1" fillId="0" borderId="23" xfId="0" applyFont="1" applyBorder="1" applyAlignment="1" applyProtection="1">
      <alignment horizontal="center" vertical="center" textRotation="90"/>
    </xf>
    <xf numFmtId="0" fontId="1" fillId="0" borderId="24" xfId="0" applyFont="1" applyBorder="1" applyAlignment="1" applyProtection="1">
      <alignment horizontal="center" vertical="center" textRotation="90"/>
    </xf>
    <xf numFmtId="4" fontId="12" fillId="17" borderId="15" xfId="0" applyNumberFormat="1" applyFont="1" applyFill="1" applyBorder="1" applyAlignment="1" applyProtection="1">
      <alignment horizontal="center" vertical="center" textRotation="133"/>
    </xf>
    <xf numFmtId="4" fontId="12" fillId="17" borderId="2" xfId="0" applyNumberFormat="1" applyFont="1" applyFill="1" applyBorder="1" applyAlignment="1" applyProtection="1">
      <alignment horizontal="center" vertical="center" textRotation="133"/>
    </xf>
    <xf numFmtId="4" fontId="12" fillId="17" borderId="3" xfId="0" applyNumberFormat="1" applyFont="1" applyFill="1" applyBorder="1" applyAlignment="1" applyProtection="1">
      <alignment horizontal="center" vertical="center" textRotation="133"/>
    </xf>
    <xf numFmtId="4" fontId="12" fillId="17" borderId="16" xfId="0" applyNumberFormat="1" applyFont="1" applyFill="1" applyBorder="1" applyAlignment="1" applyProtection="1">
      <alignment horizontal="center" vertical="center" textRotation="133"/>
    </xf>
    <xf numFmtId="4" fontId="12" fillId="17" borderId="18" xfId="0" applyNumberFormat="1" applyFont="1" applyFill="1" applyBorder="1" applyAlignment="1" applyProtection="1">
      <alignment horizontal="center" vertical="center" textRotation="133"/>
    </xf>
    <xf numFmtId="0" fontId="14" fillId="7" borderId="29" xfId="3" applyFont="1" applyFill="1" applyBorder="1" applyAlignment="1" applyProtection="1">
      <alignment horizontal="center" vertical="center" wrapText="1"/>
    </xf>
    <xf numFmtId="0" fontId="14" fillId="7" borderId="30" xfId="3" applyFont="1" applyFill="1" applyBorder="1" applyAlignment="1" applyProtection="1">
      <alignment horizontal="center" vertical="center" wrapText="1"/>
    </xf>
    <xf numFmtId="0" fontId="14" fillId="12" borderId="21" xfId="3" applyFont="1" applyFill="1" applyBorder="1" applyAlignment="1" applyProtection="1">
      <alignment horizontal="center" vertical="center" wrapText="1"/>
    </xf>
    <xf numFmtId="0" fontId="14" fillId="12" borderId="30" xfId="3" applyFont="1" applyFill="1" applyBorder="1" applyAlignment="1" applyProtection="1">
      <alignment horizontal="center" vertical="center" wrapText="1"/>
    </xf>
    <xf numFmtId="168" fontId="32" fillId="17" borderId="43" xfId="0" applyNumberFormat="1" applyFont="1" applyFill="1" applyBorder="1" applyAlignment="1" applyProtection="1">
      <alignment horizontal="center" vertical="center" textRotation="135" wrapText="1"/>
    </xf>
    <xf numFmtId="168" fontId="32" fillId="17" borderId="47" xfId="0" applyNumberFormat="1" applyFont="1" applyFill="1" applyBorder="1" applyAlignment="1" applyProtection="1">
      <alignment horizontal="center" vertical="center" textRotation="135" wrapText="1"/>
    </xf>
    <xf numFmtId="168" fontId="32" fillId="17" borderId="44" xfId="0" applyNumberFormat="1" applyFont="1" applyFill="1" applyBorder="1" applyAlignment="1" applyProtection="1">
      <alignment horizontal="center" vertical="center" textRotation="135" wrapText="1"/>
    </xf>
    <xf numFmtId="168" fontId="32" fillId="17" borderId="49" xfId="0" applyNumberFormat="1" applyFont="1" applyFill="1" applyBorder="1" applyAlignment="1" applyProtection="1">
      <alignment horizontal="center" vertical="center" textRotation="135" wrapText="1"/>
    </xf>
    <xf numFmtId="0" fontId="32" fillId="17" borderId="44" xfId="0" applyFont="1" applyFill="1" applyBorder="1" applyAlignment="1" applyProtection="1">
      <alignment horizontal="center" vertical="center" textRotation="115"/>
    </xf>
    <xf numFmtId="0" fontId="32" fillId="17" borderId="51" xfId="0" applyFont="1" applyFill="1" applyBorder="1" applyAlignment="1" applyProtection="1">
      <alignment horizontal="center" vertical="center" textRotation="115"/>
    </xf>
    <xf numFmtId="0" fontId="33" fillId="15" borderId="0" xfId="3" applyFont="1" applyFill="1" applyBorder="1" applyAlignment="1" applyProtection="1">
      <alignment horizontal="center" vertical="center" wrapText="1"/>
    </xf>
    <xf numFmtId="0" fontId="15" fillId="15" borderId="0" xfId="3" applyFont="1" applyFill="1" applyBorder="1" applyAlignment="1" applyProtection="1">
      <alignment horizontal="center" vertical="center" wrapText="1"/>
    </xf>
    <xf numFmtId="0" fontId="20" fillId="15" borderId="4" xfId="0" applyFont="1" applyFill="1" applyBorder="1" applyAlignment="1" applyProtection="1">
      <alignment horizontal="center"/>
    </xf>
    <xf numFmtId="0" fontId="20" fillId="15" borderId="5" xfId="0" applyFont="1" applyFill="1" applyBorder="1" applyAlignment="1" applyProtection="1">
      <alignment horizontal="center"/>
    </xf>
    <xf numFmtId="0" fontId="20" fillId="15" borderId="6" xfId="0" applyFont="1" applyFill="1" applyBorder="1" applyAlignment="1" applyProtection="1">
      <alignment horizontal="center"/>
    </xf>
    <xf numFmtId="0" fontId="17" fillId="14" borderId="0" xfId="0" applyFont="1" applyFill="1" applyBorder="1" applyAlignment="1" applyProtection="1">
      <alignment horizontal="center" wrapText="1"/>
    </xf>
    <xf numFmtId="0" fontId="17" fillId="14" borderId="8" xfId="0" applyFont="1" applyFill="1" applyBorder="1" applyAlignment="1" applyProtection="1">
      <alignment horizontal="center" wrapText="1"/>
    </xf>
    <xf numFmtId="0" fontId="1" fillId="3" borderId="0" xfId="0" applyFont="1" applyFill="1" applyAlignment="1" applyProtection="1">
      <alignment horizontal="center"/>
    </xf>
    <xf numFmtId="0" fontId="16" fillId="15" borderId="0" xfId="3" applyFont="1" applyFill="1" applyAlignment="1" applyProtection="1">
      <alignment horizontal="center" vertical="center"/>
    </xf>
    <xf numFmtId="0" fontId="30" fillId="0" borderId="0" xfId="0" applyFont="1" applyAlignment="1" applyProtection="1">
      <alignment horizontal="left" vertical="center" wrapText="1"/>
    </xf>
    <xf numFmtId="0" fontId="28" fillId="0" borderId="0" xfId="0" applyFont="1" applyAlignment="1" applyProtection="1">
      <alignment horizontal="left"/>
    </xf>
    <xf numFmtId="0" fontId="0" fillId="0" borderId="0" xfId="0" applyAlignment="1" applyProtection="1">
      <alignment horizontal="left" vertical="top" wrapText="1"/>
    </xf>
    <xf numFmtId="0" fontId="0" fillId="0" borderId="0" xfId="0" applyAlignment="1" applyProtection="1">
      <alignment horizontal="left" wrapText="1"/>
    </xf>
    <xf numFmtId="0" fontId="0" fillId="0" borderId="0" xfId="0" quotePrefix="1" applyAlignment="1" applyProtection="1">
      <alignment horizontal="left" vertical="center" wrapText="1"/>
    </xf>
    <xf numFmtId="0" fontId="1" fillId="2" borderId="27"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27" fillId="0" borderId="5" xfId="0" applyFont="1" applyBorder="1" applyAlignment="1" applyProtection="1">
      <alignment horizontal="right" vertical="center" textRotation="90" wrapText="1"/>
    </xf>
    <xf numFmtId="0" fontId="27" fillId="0" borderId="0" xfId="0" applyFont="1" applyBorder="1" applyAlignment="1" applyProtection="1">
      <alignment horizontal="right" vertical="center" textRotation="90" wrapText="1"/>
    </xf>
    <xf numFmtId="0" fontId="27" fillId="0" borderId="10" xfId="0" applyFont="1" applyBorder="1" applyAlignment="1" applyProtection="1">
      <alignment horizontal="right" vertical="center" textRotation="90" wrapText="1"/>
    </xf>
    <xf numFmtId="0" fontId="0" fillId="0" borderId="5" xfId="0" applyBorder="1" applyAlignment="1" applyProtection="1">
      <alignment horizontal="right" vertical="center" textRotation="90"/>
    </xf>
    <xf numFmtId="0" fontId="0" fillId="0" borderId="0" xfId="0" applyBorder="1" applyAlignment="1" applyProtection="1">
      <alignment horizontal="right" vertical="center" textRotation="90"/>
    </xf>
    <xf numFmtId="0" fontId="0" fillId="0" borderId="10" xfId="0" applyBorder="1" applyAlignment="1" applyProtection="1">
      <alignment horizontal="right" vertical="center" textRotation="90"/>
    </xf>
    <xf numFmtId="0" fontId="0" fillId="0" borderId="5" xfId="0" applyBorder="1" applyAlignment="1" applyProtection="1">
      <alignment horizontal="center" vertical="center" textRotation="90"/>
    </xf>
    <xf numFmtId="0" fontId="0" fillId="0" borderId="0" xfId="0" applyBorder="1" applyAlignment="1" applyProtection="1">
      <alignment horizontal="center" vertical="center" textRotation="90"/>
    </xf>
    <xf numFmtId="0" fontId="0" fillId="0" borderId="10" xfId="0" applyBorder="1" applyAlignment="1" applyProtection="1">
      <alignment horizontal="center" vertical="center" textRotation="90"/>
    </xf>
    <xf numFmtId="0" fontId="19" fillId="24" borderId="0" xfId="0" applyFont="1" applyFill="1" applyAlignment="1">
      <alignment horizontal="center" vertical="top"/>
    </xf>
  </cellXfs>
  <cellStyles count="10">
    <cellStyle name="20% - Accent3" xfId="6" builtinId="38"/>
    <cellStyle name="60% - Accent2" xfId="4" builtinId="36"/>
    <cellStyle name="Accent3" xfId="5" builtinId="37"/>
    <cellStyle name="Comma" xfId="1" builtinId="3"/>
    <cellStyle name="Currency" xfId="2" builtinId="4"/>
    <cellStyle name="Hyperlink" xfId="8" builtinId="8"/>
    <cellStyle name="Normal" xfId="0" builtinId="0"/>
    <cellStyle name="Normal 2" xfId="9" xr:uid="{C3903A58-1583-4085-8819-EE3C4DC5712F}"/>
    <cellStyle name="Percent" xfId="7" builtinId="5"/>
    <cellStyle name="Title" xfId="3" builtinId="15"/>
  </cellStyles>
  <dxfs count="4">
    <dxf>
      <fill>
        <patternFill>
          <bgColor theme="0"/>
        </patternFill>
      </fill>
    </dxf>
    <dxf>
      <numFmt numFmtId="170" formatCode=";;;"/>
    </dxf>
    <dxf>
      <numFmt numFmtId="170" formatCode=";;;"/>
    </dxf>
    <dxf>
      <numFmt numFmtId="170" formatCode=";;;"/>
    </dxf>
  </dxfs>
  <tableStyles count="0" defaultTableStyle="TableStyleMedium2" defaultPivotStyle="PivotStyleLight16"/>
  <colors>
    <mruColors>
      <color rgb="FFFF7C80"/>
      <color rgb="FFFF9933"/>
      <color rgb="FFCC99FF"/>
      <color rgb="FF00FFFF"/>
      <color rgb="FFFF79A6"/>
      <color rgb="FFFF3377"/>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nathan.slason@rsginc.com?subject=Distribution%20Cost%20Analysis%20Tool" TargetMode="External"/><Relationship Id="rId1" Type="http://schemas.openxmlformats.org/officeDocument/2006/relationships/hyperlink" Target="mailto:rosalie.wilson@earthlink.net?subject=Distribution%20Financial%20Analysis%20Tool%20Assistanc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nathan.slason@rsginc.com?subject=Distribution%20Cost%20Analysis%20Tool" TargetMode="External"/><Relationship Id="rId1" Type="http://schemas.openxmlformats.org/officeDocument/2006/relationships/hyperlink" Target="mailto:rosalie.wilson@earthlink.net?subject=Distribution%20Financial%20Analysis%20Tool%20Assist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jonathan.slason@rsginc.com?subject=Distribution%20Cost%20Analysis%20Tool" TargetMode="External"/><Relationship Id="rId1" Type="http://schemas.openxmlformats.org/officeDocument/2006/relationships/hyperlink" Target="mailto:rosalie.wilson@earthlink.net?subject=Distribution%20Financial%20Analysis%20Tool%20Assistanc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jonathan.slason@rsginc.com?subject=Distribution%20Cost%20Analysis%20Tool" TargetMode="External"/><Relationship Id="rId1" Type="http://schemas.openxmlformats.org/officeDocument/2006/relationships/hyperlink" Target="mailto:rosalie.wilson@earthlink.net?subject=Distribution%20Financial%20Analysis%20Tool%20Assistanc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ABB6-2928-4C0A-897A-AA8422F0D961}">
  <sheetPr>
    <pageSetUpPr fitToPage="1"/>
  </sheetPr>
  <dimension ref="A1:F19"/>
  <sheetViews>
    <sheetView tabSelected="1" workbookViewId="0"/>
  </sheetViews>
  <sheetFormatPr defaultRowHeight="15" x14ac:dyDescent="0.25"/>
  <cols>
    <col min="1" max="1" width="4.85546875" customWidth="1"/>
    <col min="2" max="2" width="5.5703125" customWidth="1"/>
    <col min="3" max="3" width="60.28515625" customWidth="1"/>
    <col min="4" max="4" width="25" customWidth="1"/>
    <col min="5" max="5" width="55.7109375" customWidth="1"/>
    <col min="6" max="6" width="72.28515625" customWidth="1"/>
    <col min="7" max="7" width="6.7109375" customWidth="1"/>
    <col min="8" max="9" width="72.28515625" customWidth="1"/>
  </cols>
  <sheetData>
    <row r="1" spans="1:6" ht="23.25" x14ac:dyDescent="0.25">
      <c r="A1" s="20" t="s">
        <v>236</v>
      </c>
      <c r="D1" s="20"/>
    </row>
    <row r="2" spans="1:6" ht="32.450000000000003" customHeight="1" x14ac:dyDescent="0.25">
      <c r="A2" s="281" t="s">
        <v>237</v>
      </c>
      <c r="B2" s="281"/>
      <c r="C2" s="281"/>
      <c r="D2" s="281"/>
      <c r="E2" s="281"/>
      <c r="F2" s="69"/>
    </row>
    <row r="3" spans="1:6" ht="30.6" customHeight="1" x14ac:dyDescent="0.25">
      <c r="A3" s="281" t="s">
        <v>234</v>
      </c>
      <c r="B3" s="281"/>
      <c r="C3" s="281"/>
      <c r="D3" s="281"/>
      <c r="E3" s="281"/>
      <c r="F3" s="69"/>
    </row>
    <row r="4" spans="1:6" ht="30.6" customHeight="1" x14ac:dyDescent="0.25">
      <c r="A4" s="281" t="s">
        <v>209</v>
      </c>
      <c r="B4" s="281"/>
      <c r="C4" s="281"/>
      <c r="D4" s="281"/>
      <c r="E4" s="281"/>
      <c r="F4" s="259"/>
    </row>
    <row r="5" spans="1:6" ht="18" customHeight="1" x14ac:dyDescent="0.25">
      <c r="A5" s="65" t="s">
        <v>210</v>
      </c>
      <c r="B5" s="65"/>
      <c r="C5" s="65"/>
      <c r="D5" s="65"/>
      <c r="E5" s="65"/>
    </row>
    <row r="6" spans="1:6" ht="32.1" customHeight="1" x14ac:dyDescent="0.25">
      <c r="A6" s="281" t="s">
        <v>171</v>
      </c>
      <c r="B6" s="281"/>
      <c r="C6" s="281"/>
      <c r="D6" s="281"/>
      <c r="E6" s="281"/>
      <c r="F6" s="259"/>
    </row>
    <row r="7" spans="1:6" ht="36.950000000000003" customHeight="1" x14ac:dyDescent="0.25">
      <c r="A7" s="281" t="s">
        <v>230</v>
      </c>
      <c r="B7" s="281"/>
      <c r="C7" s="281"/>
      <c r="D7" s="281"/>
      <c r="E7" s="281"/>
      <c r="F7" s="259"/>
    </row>
    <row r="8" spans="1:6" ht="32.1" customHeight="1" x14ac:dyDescent="0.25">
      <c r="A8" s="281" t="s">
        <v>172</v>
      </c>
      <c r="B8" s="281"/>
      <c r="C8" s="281"/>
      <c r="D8" s="281"/>
      <c r="E8" s="281"/>
      <c r="F8" s="281"/>
    </row>
    <row r="9" spans="1:6" x14ac:dyDescent="0.25">
      <c r="A9" s="66"/>
    </row>
    <row r="10" spans="1:6" ht="23.25" x14ac:dyDescent="0.25">
      <c r="A10" s="22" t="s">
        <v>84</v>
      </c>
    </row>
    <row r="11" spans="1:6" x14ac:dyDescent="0.25">
      <c r="A11" s="59" t="s">
        <v>129</v>
      </c>
    </row>
    <row r="12" spans="1:6" x14ac:dyDescent="0.25">
      <c r="A12" s="23" t="s">
        <v>128</v>
      </c>
    </row>
    <row r="13" spans="1:6" x14ac:dyDescent="0.25">
      <c r="A13" s="62" t="s">
        <v>127</v>
      </c>
    </row>
    <row r="15" spans="1:6" ht="23.25" x14ac:dyDescent="0.25">
      <c r="A15" s="22" t="s">
        <v>135</v>
      </c>
    </row>
    <row r="16" spans="1:6" ht="17.45" customHeight="1" x14ac:dyDescent="0.25">
      <c r="A16" s="21" t="s">
        <v>227</v>
      </c>
      <c r="B16" s="21"/>
    </row>
    <row r="17" spans="1:1" x14ac:dyDescent="0.25">
      <c r="A17" t="s">
        <v>137</v>
      </c>
    </row>
    <row r="18" spans="1:1" x14ac:dyDescent="0.25">
      <c r="A18" t="s">
        <v>138</v>
      </c>
    </row>
    <row r="19" spans="1:1" x14ac:dyDescent="0.25">
      <c r="A19" t="s">
        <v>139</v>
      </c>
    </row>
  </sheetData>
  <mergeCells count="6">
    <mergeCell ref="A8:F8"/>
    <mergeCell ref="A2:E2"/>
    <mergeCell ref="A3:E3"/>
    <mergeCell ref="A4:E4"/>
    <mergeCell ref="A6:E6"/>
    <mergeCell ref="A7:E7"/>
  </mergeCells>
  <hyperlinks>
    <hyperlink ref="A12" r:id="rId1" display="For more information or technical help with the model, contact:" xr:uid="{FCEFC636-8378-4E7E-BB89-E17C95C5F6A7}"/>
    <hyperlink ref="A13" r:id="rId2" xr:uid="{DD1CC924-3DFA-4C29-B3AF-F3BEFABB66F3}"/>
  </hyperlinks>
  <pageMargins left="0.7" right="0.7" top="0.75" bottom="0.75" header="0.3" footer="0.3"/>
  <pageSetup scale="55"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workbookViewId="0">
      <selection sqref="A1:E1"/>
    </sheetView>
  </sheetViews>
  <sheetFormatPr defaultRowHeight="15" x14ac:dyDescent="0.25"/>
  <cols>
    <col min="1" max="1" width="4.85546875" customWidth="1"/>
    <col min="2" max="2" width="5.5703125" customWidth="1"/>
    <col min="3" max="3" width="60.28515625" customWidth="1"/>
    <col min="4" max="4" width="25" customWidth="1"/>
    <col min="5" max="5" width="55.7109375" customWidth="1"/>
    <col min="6" max="6" width="72.28515625" customWidth="1"/>
    <col min="7" max="7" width="6.7109375" customWidth="1"/>
    <col min="8" max="9" width="72.28515625" customWidth="1"/>
  </cols>
  <sheetData>
    <row r="1" spans="1:7" ht="23.25" x14ac:dyDescent="0.25">
      <c r="A1" s="282" t="s">
        <v>235</v>
      </c>
      <c r="B1" s="282"/>
      <c r="C1" s="282"/>
      <c r="D1" s="282"/>
      <c r="E1" s="282"/>
    </row>
    <row r="2" spans="1:7" ht="21.75" thickBot="1" x14ac:dyDescent="0.3">
      <c r="A2" s="68" t="s">
        <v>83</v>
      </c>
      <c r="C2" s="63"/>
      <c r="D2" s="63"/>
      <c r="E2" s="63"/>
      <c r="F2" s="63"/>
      <c r="G2" s="63"/>
    </row>
    <row r="3" spans="1:7" ht="15" customHeight="1" thickBot="1" x14ac:dyDescent="0.3">
      <c r="A3" s="64"/>
      <c r="B3" s="70" t="s">
        <v>68</v>
      </c>
      <c r="D3" s="21" t="s">
        <v>133</v>
      </c>
      <c r="E3" s="25"/>
      <c r="F3" s="25"/>
      <c r="G3" s="63"/>
    </row>
    <row r="4" spans="1:7" ht="14.45" customHeight="1" x14ac:dyDescent="0.25">
      <c r="A4" s="2"/>
      <c r="B4" s="70" t="s">
        <v>67</v>
      </c>
      <c r="D4" s="21" t="s">
        <v>87</v>
      </c>
    </row>
    <row r="5" spans="1:7" ht="18.600000000000001" customHeight="1" x14ac:dyDescent="0.25">
      <c r="A5" s="58">
        <v>1</v>
      </c>
      <c r="B5" s="70" t="s">
        <v>132</v>
      </c>
      <c r="D5" s="21" t="s">
        <v>216</v>
      </c>
    </row>
    <row r="6" spans="1:7" ht="22.5" customHeight="1" x14ac:dyDescent="0.25">
      <c r="A6" s="30"/>
      <c r="B6" s="70" t="s">
        <v>130</v>
      </c>
      <c r="D6" s="21" t="s">
        <v>131</v>
      </c>
    </row>
    <row r="7" spans="1:7" ht="23.25" customHeight="1" x14ac:dyDescent="0.25">
      <c r="A7" s="24"/>
      <c r="B7" s="70" t="s">
        <v>89</v>
      </c>
      <c r="D7" s="21" t="s">
        <v>88</v>
      </c>
    </row>
    <row r="8" spans="1:7" ht="23.25" x14ac:dyDescent="0.25">
      <c r="A8" s="258"/>
      <c r="B8" s="258"/>
      <c r="C8" s="258"/>
      <c r="D8" s="258"/>
      <c r="E8" s="258"/>
    </row>
    <row r="9" spans="1:7" ht="23.25" x14ac:dyDescent="0.25">
      <c r="A9" s="68" t="s">
        <v>211</v>
      </c>
      <c r="B9" s="245"/>
      <c r="C9" s="245"/>
      <c r="D9" s="245"/>
      <c r="E9" s="245"/>
    </row>
    <row r="10" spans="1:7" ht="23.25" x14ac:dyDescent="0.25">
      <c r="A10" s="260" t="s">
        <v>212</v>
      </c>
      <c r="B10" s="245"/>
      <c r="C10" s="245"/>
      <c r="D10" s="245"/>
      <c r="E10" s="245"/>
    </row>
    <row r="11" spans="1:7" ht="15.75" x14ac:dyDescent="0.25">
      <c r="A11" s="61"/>
      <c r="B11" s="60"/>
    </row>
    <row r="12" spans="1:7" ht="21" x14ac:dyDescent="0.25">
      <c r="A12" s="68" t="s">
        <v>126</v>
      </c>
      <c r="B12" s="60"/>
    </row>
    <row r="13" spans="1:7" x14ac:dyDescent="0.25">
      <c r="A13" s="58">
        <v>1</v>
      </c>
      <c r="B13" s="267" t="s">
        <v>125</v>
      </c>
    </row>
    <row r="14" spans="1:7" x14ac:dyDescent="0.25">
      <c r="A14" s="58">
        <v>2</v>
      </c>
      <c r="B14" s="69" t="s">
        <v>217</v>
      </c>
    </row>
    <row r="15" spans="1:7" x14ac:dyDescent="0.25">
      <c r="A15" s="58">
        <v>3</v>
      </c>
      <c r="B15" s="69" t="s">
        <v>218</v>
      </c>
    </row>
    <row r="16" spans="1:7" x14ac:dyDescent="0.25">
      <c r="A16" s="58">
        <v>4</v>
      </c>
      <c r="B16" s="69" t="s">
        <v>219</v>
      </c>
    </row>
    <row r="17" spans="1:2" x14ac:dyDescent="0.25">
      <c r="A17" s="58">
        <v>5</v>
      </c>
      <c r="B17" s="268" t="s">
        <v>220</v>
      </c>
    </row>
    <row r="18" spans="1:2" x14ac:dyDescent="0.25">
      <c r="A18" s="58">
        <v>6</v>
      </c>
      <c r="B18" s="268" t="s">
        <v>194</v>
      </c>
    </row>
    <row r="19" spans="1:2" x14ac:dyDescent="0.25">
      <c r="A19" s="58">
        <v>7</v>
      </c>
      <c r="B19" s="268" t="s">
        <v>195</v>
      </c>
    </row>
    <row r="20" spans="1:2" x14ac:dyDescent="0.25">
      <c r="A20" s="58">
        <v>8</v>
      </c>
      <c r="B20" s="268" t="s">
        <v>197</v>
      </c>
    </row>
    <row r="21" spans="1:2" x14ac:dyDescent="0.25">
      <c r="A21" s="58">
        <v>9</v>
      </c>
      <c r="B21" s="69" t="s">
        <v>198</v>
      </c>
    </row>
    <row r="22" spans="1:2" x14ac:dyDescent="0.25">
      <c r="A22" s="58">
        <v>10</v>
      </c>
      <c r="B22" s="69" t="s">
        <v>224</v>
      </c>
    </row>
    <row r="23" spans="1:2" x14ac:dyDescent="0.25">
      <c r="A23" s="58">
        <v>11</v>
      </c>
      <c r="B23" s="69" t="s">
        <v>200</v>
      </c>
    </row>
    <row r="24" spans="1:2" x14ac:dyDescent="0.25">
      <c r="A24" s="58">
        <v>12</v>
      </c>
      <c r="B24" s="69" t="s">
        <v>222</v>
      </c>
    </row>
    <row r="25" spans="1:2" x14ac:dyDescent="0.25">
      <c r="A25" s="58">
        <v>13</v>
      </c>
      <c r="B25" s="69" t="s">
        <v>223</v>
      </c>
    </row>
    <row r="26" spans="1:2" x14ac:dyDescent="0.25">
      <c r="A26" s="66"/>
    </row>
    <row r="27" spans="1:2" ht="23.25" x14ac:dyDescent="0.25">
      <c r="A27" s="22" t="s">
        <v>84</v>
      </c>
    </row>
    <row r="28" spans="1:2" x14ac:dyDescent="0.25">
      <c r="A28" s="59" t="s">
        <v>129</v>
      </c>
    </row>
    <row r="29" spans="1:2" x14ac:dyDescent="0.25">
      <c r="A29" s="23" t="s">
        <v>128</v>
      </c>
    </row>
    <row r="30" spans="1:2" x14ac:dyDescent="0.25">
      <c r="A30" s="62" t="s">
        <v>127</v>
      </c>
    </row>
    <row r="32" spans="1:2" ht="23.25" x14ac:dyDescent="0.25">
      <c r="A32" s="22" t="s">
        <v>135</v>
      </c>
    </row>
    <row r="33" spans="1:2" ht="17.45" customHeight="1" x14ac:dyDescent="0.25">
      <c r="A33" s="21" t="s">
        <v>227</v>
      </c>
      <c r="B33" s="21"/>
    </row>
    <row r="34" spans="1:2" x14ac:dyDescent="0.25">
      <c r="A34" t="s">
        <v>137</v>
      </c>
    </row>
    <row r="35" spans="1:2" x14ac:dyDescent="0.25">
      <c r="A35" t="s">
        <v>138</v>
      </c>
    </row>
    <row r="36" spans="1:2" x14ac:dyDescent="0.25">
      <c r="A36" t="s">
        <v>139</v>
      </c>
    </row>
  </sheetData>
  <mergeCells count="1">
    <mergeCell ref="A1:E1"/>
  </mergeCells>
  <hyperlinks>
    <hyperlink ref="A29" r:id="rId1" display="For more information or technical help with the model, contact:" xr:uid="{00000000-0004-0000-0000-000000000000}"/>
    <hyperlink ref="A30" r:id="rId2" xr:uid="{00000000-0004-0000-0000-000001000000}"/>
  </hyperlinks>
  <pageMargins left="0.7" right="0.7" top="0.75" bottom="0.75" header="0.3" footer="0.3"/>
  <pageSetup scale="55"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DD523-4C9D-4A95-992C-682F9A979089}">
  <sheetPr>
    <pageSetUpPr fitToPage="1"/>
  </sheetPr>
  <dimension ref="A1:H27"/>
  <sheetViews>
    <sheetView zoomScale="50" zoomScaleNormal="50" workbookViewId="0">
      <selection sqref="A1:F1"/>
    </sheetView>
  </sheetViews>
  <sheetFormatPr defaultRowHeight="15" x14ac:dyDescent="0.25"/>
  <cols>
    <col min="1" max="1" width="57.140625" customWidth="1"/>
    <col min="2" max="2" width="5.5703125" customWidth="1"/>
    <col min="3" max="3" width="16.5703125" customWidth="1"/>
    <col min="4" max="4" width="13.28515625" customWidth="1"/>
    <col min="5" max="5" width="12.5703125" customWidth="1"/>
    <col min="6" max="6" width="91.42578125" customWidth="1"/>
    <col min="7" max="7" width="9.5703125" bestFit="1" customWidth="1"/>
    <col min="8" max="8" width="69.140625" customWidth="1"/>
  </cols>
  <sheetData>
    <row r="1" spans="1:6" ht="33.75" x14ac:dyDescent="0.5">
      <c r="A1" s="283" t="s">
        <v>232</v>
      </c>
      <c r="B1" s="283"/>
      <c r="C1" s="283"/>
      <c r="D1" s="283"/>
      <c r="E1" s="283"/>
      <c r="F1" s="283"/>
    </row>
    <row r="2" spans="1:6" ht="33.75" x14ac:dyDescent="0.5">
      <c r="A2" s="283" t="s">
        <v>49</v>
      </c>
      <c r="B2" s="283"/>
      <c r="C2" s="283"/>
      <c r="D2" s="283"/>
      <c r="E2" s="283"/>
      <c r="F2" s="283"/>
    </row>
    <row r="3" spans="1:6" ht="32.25" thickBot="1" x14ac:dyDescent="0.55000000000000004">
      <c r="A3" s="97" t="s">
        <v>96</v>
      </c>
      <c r="B3" s="97"/>
      <c r="C3" s="97"/>
      <c r="D3" s="97"/>
      <c r="E3" s="97"/>
      <c r="F3" s="97"/>
    </row>
    <row r="4" spans="1:6" ht="39.950000000000003" customHeight="1" thickBot="1" x14ac:dyDescent="0.3">
      <c r="A4" s="280" t="s">
        <v>221</v>
      </c>
      <c r="B4" s="101">
        <v>1</v>
      </c>
      <c r="C4" s="262" t="s">
        <v>8</v>
      </c>
      <c r="D4" t="s">
        <v>225</v>
      </c>
    </row>
    <row r="5" spans="1:6" x14ac:dyDescent="0.25">
      <c r="A5" s="3"/>
      <c r="B5" s="3"/>
      <c r="C5" s="3"/>
      <c r="D5" s="3"/>
      <c r="E5" s="3"/>
      <c r="F5" s="3"/>
    </row>
    <row r="6" spans="1:6" ht="15.75" thickBot="1" x14ac:dyDescent="0.3">
      <c r="D6" s="1"/>
    </row>
    <row r="7" spans="1:6" ht="43.5" customHeight="1" thickBot="1" x14ac:dyDescent="0.3">
      <c r="A7" s="277" t="s">
        <v>213</v>
      </c>
      <c r="B7" s="277"/>
      <c r="C7" s="289" t="s">
        <v>50</v>
      </c>
      <c r="D7" s="290"/>
      <c r="F7" s="60"/>
    </row>
    <row r="8" spans="1:6" ht="14.45" customHeight="1" thickBot="1" x14ac:dyDescent="0.3">
      <c r="A8" t="s">
        <v>217</v>
      </c>
      <c r="B8" s="101">
        <v>2</v>
      </c>
      <c r="C8" s="284" t="s">
        <v>238</v>
      </c>
      <c r="D8" s="284"/>
      <c r="F8" s="60"/>
    </row>
    <row r="9" spans="1:6" ht="15.75" thickBot="1" x14ac:dyDescent="0.3">
      <c r="A9" t="s">
        <v>218</v>
      </c>
      <c r="B9" s="101">
        <v>3</v>
      </c>
      <c r="C9" s="287" t="s">
        <v>239</v>
      </c>
      <c r="D9" s="288"/>
    </row>
    <row r="10" spans="1:6" ht="15.75" thickBot="1" x14ac:dyDescent="0.3">
      <c r="A10" t="s">
        <v>219</v>
      </c>
      <c r="B10" s="101">
        <v>4</v>
      </c>
      <c r="C10" s="285">
        <v>5000</v>
      </c>
      <c r="D10" s="285"/>
    </row>
    <row r="11" spans="1:6" ht="15.75" thickBot="1" x14ac:dyDescent="0.3">
      <c r="A11" s="246" t="s">
        <v>220</v>
      </c>
      <c r="B11" s="101">
        <v>5</v>
      </c>
      <c r="C11" s="286">
        <v>4.8899999999999997</v>
      </c>
      <c r="D11" s="286"/>
      <c r="E11" t="s">
        <v>233</v>
      </c>
    </row>
    <row r="12" spans="1:6" ht="15.75" thickBot="1" x14ac:dyDescent="0.3"/>
    <row r="13" spans="1:6" ht="37.5" x14ac:dyDescent="0.25">
      <c r="D13" s="264" t="s">
        <v>50</v>
      </c>
      <c r="E13" s="264" t="s">
        <v>60</v>
      </c>
    </row>
    <row r="14" spans="1:6" x14ac:dyDescent="0.25">
      <c r="A14" s="247" t="s">
        <v>194</v>
      </c>
      <c r="B14" s="101">
        <v>6</v>
      </c>
      <c r="C14" s="261">
        <f>IF(C$4="User Defined",C11*(1-D14), C11*(1-E14))</f>
        <v>3.1785000000000001</v>
      </c>
      <c r="D14" s="249"/>
      <c r="E14" s="250">
        <v>0.35</v>
      </c>
      <c r="F14" t="s">
        <v>226</v>
      </c>
    </row>
    <row r="15" spans="1:6" x14ac:dyDescent="0.25">
      <c r="A15" s="248" t="s">
        <v>195</v>
      </c>
      <c r="B15" s="101">
        <v>7</v>
      </c>
      <c r="C15" s="261">
        <f>IF(C$4="User Defined",C14*(1-D15), C14*(1-E15))</f>
        <v>2.2885200000000001</v>
      </c>
      <c r="D15" s="249"/>
      <c r="E15" s="250">
        <v>0.28000000000000003</v>
      </c>
      <c r="F15" t="s">
        <v>215</v>
      </c>
    </row>
    <row r="16" spans="1:6" x14ac:dyDescent="0.25">
      <c r="A16" t="s">
        <v>196</v>
      </c>
      <c r="B16" s="266"/>
      <c r="C16" s="266"/>
      <c r="D16" s="266"/>
      <c r="E16" s="278"/>
    </row>
    <row r="17" spans="1:8" x14ac:dyDescent="0.25">
      <c r="A17" s="251" t="s">
        <v>197</v>
      </c>
      <c r="B17" s="101">
        <v>8</v>
      </c>
      <c r="C17" s="261">
        <f>IF(C$4="User Defined",-C$15*D17, -C$15*E17)</f>
        <v>-0.34327800000000003</v>
      </c>
      <c r="D17" s="249"/>
      <c r="E17" s="250">
        <v>0.15</v>
      </c>
    </row>
    <row r="18" spans="1:8" x14ac:dyDescent="0.25">
      <c r="A18" s="251" t="s">
        <v>198</v>
      </c>
      <c r="B18" s="101">
        <v>9</v>
      </c>
      <c r="C18" s="261">
        <f t="shared" ref="C18:C20" si="0">IF(C$4="User Defined",-C$15*D18, -C$15*E18)</f>
        <v>-2.2885200000000001E-2</v>
      </c>
      <c r="D18" s="249"/>
      <c r="E18" s="250">
        <v>0.01</v>
      </c>
    </row>
    <row r="19" spans="1:8" x14ac:dyDescent="0.25">
      <c r="A19" s="251" t="s">
        <v>199</v>
      </c>
      <c r="B19" s="101">
        <v>10</v>
      </c>
      <c r="C19" s="261">
        <f t="shared" si="0"/>
        <v>-4.5770400000000003E-2</v>
      </c>
      <c r="D19" s="249"/>
      <c r="E19" s="250">
        <v>0.02</v>
      </c>
    </row>
    <row r="20" spans="1:8" x14ac:dyDescent="0.25">
      <c r="A20" s="251" t="s">
        <v>200</v>
      </c>
      <c r="B20" s="101">
        <v>11</v>
      </c>
      <c r="C20" s="261">
        <f t="shared" si="0"/>
        <v>-0.34327800000000003</v>
      </c>
      <c r="D20" s="249"/>
      <c r="E20" s="250">
        <v>0.15</v>
      </c>
    </row>
    <row r="21" spans="1:8" x14ac:dyDescent="0.25">
      <c r="A21" s="253" t="s">
        <v>201</v>
      </c>
      <c r="B21" s="253"/>
      <c r="C21" s="254">
        <f>SUM(C15:C20)</f>
        <v>1.5333084000000001</v>
      </c>
      <c r="D21" s="254"/>
      <c r="E21" s="255">
        <f>IFERROR((C21/C11),0)</f>
        <v>0.31356000000000006</v>
      </c>
      <c r="F21" s="253" t="s">
        <v>202</v>
      </c>
    </row>
    <row r="22" spans="1:8" x14ac:dyDescent="0.25">
      <c r="A22" t="s">
        <v>203</v>
      </c>
      <c r="E22" s="252"/>
    </row>
    <row r="23" spans="1:8" x14ac:dyDescent="0.25">
      <c r="A23" s="251" t="s">
        <v>204</v>
      </c>
      <c r="B23" s="101">
        <v>12</v>
      </c>
      <c r="C23" s="261">
        <f>IF(C$4="User Defined",-D23/C10,-E23/C10)</f>
        <v>-0.08</v>
      </c>
      <c r="D23" s="263"/>
      <c r="E23" s="265">
        <v>400</v>
      </c>
      <c r="F23" t="s">
        <v>205</v>
      </c>
    </row>
    <row r="24" spans="1:8" x14ac:dyDescent="0.25">
      <c r="A24" s="251" t="s">
        <v>206</v>
      </c>
      <c r="B24" s="101">
        <v>13</v>
      </c>
      <c r="C24" s="261">
        <f>IF(C$4="User Defined",-D24*C$21,-E24*C$21)</f>
        <v>-7.6665420000000012E-2</v>
      </c>
      <c r="D24" s="249"/>
      <c r="E24" s="250">
        <v>0.05</v>
      </c>
      <c r="F24" t="s">
        <v>207</v>
      </c>
      <c r="H24" s="279"/>
    </row>
    <row r="25" spans="1:8" x14ac:dyDescent="0.25">
      <c r="A25" s="256" t="s">
        <v>208</v>
      </c>
      <c r="B25" s="256"/>
      <c r="C25" s="254">
        <f>SUM(C21:C24)</f>
        <v>1.37664298</v>
      </c>
      <c r="D25" s="254"/>
      <c r="E25" s="255">
        <f>IFERROR((C25/C11),0)</f>
        <v>0.28152208179959104</v>
      </c>
      <c r="F25" s="253" t="s">
        <v>202</v>
      </c>
      <c r="H25" s="279"/>
    </row>
    <row r="26" spans="1:8" x14ac:dyDescent="0.25">
      <c r="A26" s="3"/>
      <c r="B26" s="3"/>
    </row>
    <row r="27" spans="1:8" x14ac:dyDescent="0.25">
      <c r="A27" s="257" t="s">
        <v>214</v>
      </c>
    </row>
  </sheetData>
  <mergeCells count="7">
    <mergeCell ref="A1:F1"/>
    <mergeCell ref="A2:F2"/>
    <mergeCell ref="C8:D8"/>
    <mergeCell ref="C10:D10"/>
    <mergeCell ref="C11:D11"/>
    <mergeCell ref="C9:D9"/>
    <mergeCell ref="C7:D7"/>
  </mergeCells>
  <dataValidations disablePrompts="1" count="1">
    <dataValidation type="list" allowBlank="1" showInputMessage="1" showErrorMessage="1" sqref="C4" xr:uid="{92A65F84-217B-4730-AFF9-0EED806175FB}">
      <formula1>TruckCostInputData</formula1>
    </dataValidation>
  </dataValidations>
  <pageMargins left="0.7" right="0.7" top="0.75" bottom="0.75" header="0.3" footer="0.3"/>
  <pageSetup scale="68"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9E682-3E6F-4710-B6AC-DCAA5144262D}">
  <sheetPr>
    <pageSetUpPr fitToPage="1"/>
  </sheetPr>
  <dimension ref="A1:G74"/>
  <sheetViews>
    <sheetView workbookViewId="0">
      <selection sqref="A1:XFD6"/>
    </sheetView>
  </sheetViews>
  <sheetFormatPr defaultRowHeight="15" x14ac:dyDescent="0.25"/>
  <cols>
    <col min="1" max="1" width="4.85546875" customWidth="1"/>
    <col min="2" max="2" width="5.5703125" customWidth="1"/>
    <col min="3" max="3" width="60.28515625" customWidth="1"/>
    <col min="4" max="4" width="25" customWidth="1"/>
    <col min="5" max="5" width="55.7109375" customWidth="1"/>
    <col min="6" max="6" width="72.28515625" customWidth="1"/>
    <col min="7" max="7" width="6.7109375" customWidth="1"/>
    <col min="8" max="9" width="72.28515625" customWidth="1"/>
  </cols>
  <sheetData>
    <row r="1" spans="1:7" ht="23.25" x14ac:dyDescent="0.25">
      <c r="A1" s="282" t="s">
        <v>229</v>
      </c>
      <c r="B1" s="282"/>
      <c r="C1" s="282"/>
      <c r="D1" s="282"/>
      <c r="E1" s="282"/>
    </row>
    <row r="2" spans="1:7" ht="21.75" thickBot="1" x14ac:dyDescent="0.3">
      <c r="A2" s="68" t="s">
        <v>83</v>
      </c>
      <c r="C2" s="63"/>
      <c r="D2" s="63"/>
      <c r="E2" s="63"/>
      <c r="F2" s="63"/>
      <c r="G2" s="63"/>
    </row>
    <row r="3" spans="1:7" ht="15" customHeight="1" thickBot="1" x14ac:dyDescent="0.3">
      <c r="A3" s="64"/>
      <c r="B3" s="70" t="s">
        <v>68</v>
      </c>
      <c r="D3" s="21" t="s">
        <v>133</v>
      </c>
      <c r="E3" s="25"/>
      <c r="F3" s="25"/>
      <c r="G3" s="63"/>
    </row>
    <row r="4" spans="1:7" ht="14.45" customHeight="1" x14ac:dyDescent="0.25">
      <c r="A4" s="2"/>
      <c r="B4" s="70" t="s">
        <v>67</v>
      </c>
      <c r="D4" s="21" t="s">
        <v>87</v>
      </c>
    </row>
    <row r="5" spans="1:7" ht="18.600000000000001" customHeight="1" x14ac:dyDescent="0.25">
      <c r="A5" s="58">
        <v>1</v>
      </c>
      <c r="B5" s="70" t="s">
        <v>132</v>
      </c>
      <c r="D5" s="21" t="s">
        <v>216</v>
      </c>
    </row>
    <row r="6" spans="1:7" ht="22.5" customHeight="1" x14ac:dyDescent="0.25">
      <c r="A6" s="30"/>
      <c r="B6" s="70" t="s">
        <v>130</v>
      </c>
      <c r="D6" s="21" t="s">
        <v>131</v>
      </c>
    </row>
    <row r="7" spans="1:7" ht="23.25" customHeight="1" x14ac:dyDescent="0.25">
      <c r="A7" s="24"/>
      <c r="B7" s="70" t="s">
        <v>89</v>
      </c>
      <c r="D7" s="21" t="s">
        <v>88</v>
      </c>
    </row>
    <row r="8" spans="1:7" ht="23.25" x14ac:dyDescent="0.25">
      <c r="A8" s="258"/>
      <c r="B8" s="258"/>
      <c r="C8" s="258"/>
      <c r="D8" s="258"/>
      <c r="E8" s="258"/>
    </row>
    <row r="9" spans="1:7" ht="21" x14ac:dyDescent="0.25">
      <c r="A9" s="68" t="s">
        <v>144</v>
      </c>
    </row>
    <row r="10" spans="1:7" ht="21" x14ac:dyDescent="0.25">
      <c r="A10" s="67" t="s">
        <v>82</v>
      </c>
    </row>
    <row r="11" spans="1:7" ht="20.45" customHeight="1" x14ac:dyDescent="0.25">
      <c r="A11" s="65" t="s">
        <v>134</v>
      </c>
      <c r="B11" s="21"/>
    </row>
    <row r="12" spans="1:7" ht="17.45" customHeight="1" x14ac:dyDescent="0.25">
      <c r="A12" s="65" t="s">
        <v>85</v>
      </c>
      <c r="B12" s="21"/>
    </row>
    <row r="13" spans="1:7" ht="15.6" customHeight="1" x14ac:dyDescent="0.25">
      <c r="A13" s="65" t="s">
        <v>86</v>
      </c>
      <c r="B13" s="65"/>
    </row>
    <row r="14" spans="1:7" x14ac:dyDescent="0.25">
      <c r="A14" s="21"/>
    </row>
    <row r="15" spans="1:7" ht="21" x14ac:dyDescent="0.25">
      <c r="A15" s="68" t="s">
        <v>126</v>
      </c>
      <c r="B15" s="60"/>
    </row>
    <row r="16" spans="1:7" x14ac:dyDescent="0.25">
      <c r="A16" s="58">
        <v>1</v>
      </c>
      <c r="B16" s="59" t="s">
        <v>125</v>
      </c>
    </row>
    <row r="17" spans="1:2" x14ac:dyDescent="0.25">
      <c r="A17" s="58">
        <v>2</v>
      </c>
      <c r="B17" s="59" t="s">
        <v>124</v>
      </c>
    </row>
    <row r="18" spans="1:2" x14ac:dyDescent="0.25">
      <c r="A18" s="58">
        <v>3</v>
      </c>
      <c r="B18" s="59" t="s">
        <v>95</v>
      </c>
    </row>
    <row r="19" spans="1:2" x14ac:dyDescent="0.25">
      <c r="A19" s="58">
        <v>4</v>
      </c>
      <c r="B19" s="59" t="s">
        <v>94</v>
      </c>
    </row>
    <row r="20" spans="1:2" x14ac:dyDescent="0.25">
      <c r="A20" s="58">
        <v>5</v>
      </c>
      <c r="B20" s="59" t="s">
        <v>93</v>
      </c>
    </row>
    <row r="21" spans="1:2" x14ac:dyDescent="0.25">
      <c r="A21" s="58">
        <v>6</v>
      </c>
      <c r="B21" s="59" t="s">
        <v>61</v>
      </c>
    </row>
    <row r="22" spans="1:2" x14ac:dyDescent="0.25">
      <c r="A22" s="58">
        <v>7</v>
      </c>
      <c r="B22" s="59" t="s">
        <v>62</v>
      </c>
    </row>
    <row r="23" spans="1:2" x14ac:dyDescent="0.25">
      <c r="A23" s="58">
        <v>8</v>
      </c>
      <c r="B23" s="59" t="s">
        <v>101</v>
      </c>
    </row>
    <row r="24" spans="1:2" x14ac:dyDescent="0.25">
      <c r="A24" s="58">
        <v>9</v>
      </c>
      <c r="B24" s="59" t="s">
        <v>102</v>
      </c>
    </row>
    <row r="25" spans="1:2" x14ac:dyDescent="0.25">
      <c r="A25" s="58">
        <v>10</v>
      </c>
      <c r="B25" s="59" t="s">
        <v>1</v>
      </c>
    </row>
    <row r="26" spans="1:2" x14ac:dyDescent="0.25">
      <c r="A26" s="58">
        <v>11</v>
      </c>
      <c r="B26" s="59" t="s">
        <v>123</v>
      </c>
    </row>
    <row r="27" spans="1:2" x14ac:dyDescent="0.25">
      <c r="A27" s="58">
        <v>12</v>
      </c>
      <c r="B27" s="59" t="s">
        <v>77</v>
      </c>
    </row>
    <row r="28" spans="1:2" x14ac:dyDescent="0.25">
      <c r="A28" s="58">
        <v>13</v>
      </c>
      <c r="B28" s="59" t="s">
        <v>15</v>
      </c>
    </row>
    <row r="29" spans="1:2" x14ac:dyDescent="0.25">
      <c r="A29" s="58">
        <v>14</v>
      </c>
      <c r="B29" s="59" t="s">
        <v>30</v>
      </c>
    </row>
    <row r="30" spans="1:2" x14ac:dyDescent="0.25">
      <c r="A30" s="58">
        <v>15</v>
      </c>
      <c r="B30" s="59" t="s">
        <v>69</v>
      </c>
    </row>
    <row r="31" spans="1:2" x14ac:dyDescent="0.25">
      <c r="A31" s="58">
        <v>16</v>
      </c>
      <c r="B31" s="59" t="s">
        <v>70</v>
      </c>
    </row>
    <row r="32" spans="1:2" x14ac:dyDescent="0.25">
      <c r="A32" s="58">
        <v>17</v>
      </c>
      <c r="B32" s="59" t="s">
        <v>16</v>
      </c>
    </row>
    <row r="33" spans="1:2" x14ac:dyDescent="0.25">
      <c r="A33" s="58">
        <v>18</v>
      </c>
      <c r="B33" s="59" t="s">
        <v>122</v>
      </c>
    </row>
    <row r="34" spans="1:2" x14ac:dyDescent="0.25">
      <c r="A34" s="58">
        <v>19</v>
      </c>
      <c r="B34" s="59" t="s">
        <v>121</v>
      </c>
    </row>
    <row r="35" spans="1:2" x14ac:dyDescent="0.25">
      <c r="A35" s="58">
        <v>20</v>
      </c>
      <c r="B35" s="59" t="str">
        <f t="shared" ref="B35:B43" si="0">"Leasing: "&amp;B23</f>
        <v>Leasing: Number of Days driving per week*</v>
      </c>
    </row>
    <row r="36" spans="1:2" x14ac:dyDescent="0.25">
      <c r="A36" s="58">
        <v>21</v>
      </c>
      <c r="B36" s="59" t="str">
        <f t="shared" si="0"/>
        <v>Leasing: Number of Weeks driving per year*</v>
      </c>
    </row>
    <row r="37" spans="1:2" x14ac:dyDescent="0.25">
      <c r="A37" s="58">
        <v>22</v>
      </c>
      <c r="B37" s="59" t="str">
        <f t="shared" si="0"/>
        <v>Leasing: Insurance Costs</v>
      </c>
    </row>
    <row r="38" spans="1:2" x14ac:dyDescent="0.25">
      <c r="A38" s="58">
        <v>23</v>
      </c>
      <c r="B38" s="59" t="str">
        <f t="shared" si="0"/>
        <v>Leasing: Fuel Costs (enter data or use the equation to determine it based on MPG and avg. price)</v>
      </c>
    </row>
    <row r="39" spans="1:2" x14ac:dyDescent="0.25">
      <c r="A39" s="58">
        <v>24</v>
      </c>
      <c r="B39" s="59" t="str">
        <f t="shared" si="0"/>
        <v>Leasing: Average Price ($/Gal)</v>
      </c>
    </row>
    <row r="40" spans="1:2" x14ac:dyDescent="0.25">
      <c r="A40" s="58">
        <v>25</v>
      </c>
      <c r="B40" s="59" t="str">
        <f t="shared" si="0"/>
        <v>Leasing: Estimated Fuel Efficiency (mpg)</v>
      </c>
    </row>
    <row r="41" spans="1:2" x14ac:dyDescent="0.25">
      <c r="A41" s="58">
        <v>26</v>
      </c>
      <c r="B41" s="59" t="str">
        <f t="shared" si="0"/>
        <v>Leasing: Other Licenses Costs (i.e. dairy, etc.)</v>
      </c>
    </row>
    <row r="42" spans="1:2" x14ac:dyDescent="0.25">
      <c r="A42" s="58">
        <v>27</v>
      </c>
      <c r="B42" s="59" t="str">
        <f t="shared" si="0"/>
        <v>Leasing: Avg. Speed of trip (&lt; 100 miles) mph</v>
      </c>
    </row>
    <row r="43" spans="1:2" x14ac:dyDescent="0.25">
      <c r="A43" s="58">
        <v>28</v>
      </c>
      <c r="B43" s="59" t="str">
        <f t="shared" si="0"/>
        <v>Leasing: Avg. Speed of trip (&gt; 100 miles) mph</v>
      </c>
    </row>
    <row r="44" spans="1:2" x14ac:dyDescent="0.25">
      <c r="A44" s="58">
        <v>29</v>
      </c>
      <c r="B44" t="s">
        <v>120</v>
      </c>
    </row>
    <row r="45" spans="1:2" x14ac:dyDescent="0.25">
      <c r="A45" s="58">
        <v>30</v>
      </c>
      <c r="B45" t="s">
        <v>119</v>
      </c>
    </row>
    <row r="46" spans="1:2" x14ac:dyDescent="0.25">
      <c r="A46" s="58">
        <v>31</v>
      </c>
      <c r="B46" t="s">
        <v>118</v>
      </c>
    </row>
    <row r="47" spans="1:2" x14ac:dyDescent="0.25">
      <c r="A47" s="58">
        <v>32</v>
      </c>
      <c r="B47" t="s">
        <v>117</v>
      </c>
    </row>
    <row r="48" spans="1:2" x14ac:dyDescent="0.25">
      <c r="A48" s="58">
        <v>33</v>
      </c>
      <c r="B48" t="s">
        <v>116</v>
      </c>
    </row>
    <row r="49" spans="1:2" x14ac:dyDescent="0.25">
      <c r="A49" s="58">
        <v>34</v>
      </c>
      <c r="B49" s="59" t="s">
        <v>147</v>
      </c>
    </row>
    <row r="50" spans="1:2" x14ac:dyDescent="0.25">
      <c r="A50" s="58">
        <v>35</v>
      </c>
      <c r="B50" s="59" t="s">
        <v>148</v>
      </c>
    </row>
    <row r="51" spans="1:2" x14ac:dyDescent="0.25">
      <c r="A51" s="58">
        <v>36</v>
      </c>
      <c r="B51" s="59" t="s">
        <v>149</v>
      </c>
    </row>
    <row r="52" spans="1:2" x14ac:dyDescent="0.25">
      <c r="A52" s="58">
        <v>37</v>
      </c>
      <c r="B52" s="59" t="s">
        <v>150</v>
      </c>
    </row>
    <row r="53" spans="1:2" x14ac:dyDescent="0.25">
      <c r="A53" s="58">
        <v>38</v>
      </c>
      <c r="B53" s="59" t="s">
        <v>115</v>
      </c>
    </row>
    <row r="54" spans="1:2" x14ac:dyDescent="0.25">
      <c r="A54" s="58">
        <v>39</v>
      </c>
      <c r="B54" s="59" t="s">
        <v>151</v>
      </c>
    </row>
    <row r="55" spans="1:2" x14ac:dyDescent="0.25">
      <c r="A55" s="58">
        <v>40</v>
      </c>
      <c r="B55" s="59" t="s">
        <v>152</v>
      </c>
    </row>
    <row r="56" spans="1:2" x14ac:dyDescent="0.25">
      <c r="A56" s="58">
        <v>41</v>
      </c>
      <c r="B56" s="59" t="s">
        <v>153</v>
      </c>
    </row>
    <row r="59" spans="1:2" ht="21" x14ac:dyDescent="0.25">
      <c r="A59" s="68" t="s">
        <v>145</v>
      </c>
    </row>
    <row r="60" spans="1:2" x14ac:dyDescent="0.25">
      <c r="A60" s="66" t="s">
        <v>146</v>
      </c>
    </row>
    <row r="61" spans="1:2" x14ac:dyDescent="0.25">
      <c r="A61" s="58">
        <v>42</v>
      </c>
      <c r="B61" s="59" t="s">
        <v>114</v>
      </c>
    </row>
    <row r="62" spans="1:2" x14ac:dyDescent="0.25">
      <c r="A62" s="58">
        <v>43</v>
      </c>
      <c r="B62" s="59" t="s">
        <v>113</v>
      </c>
    </row>
    <row r="63" spans="1:2" x14ac:dyDescent="0.25">
      <c r="A63" s="58">
        <v>44</v>
      </c>
      <c r="B63" s="59" t="s">
        <v>112</v>
      </c>
    </row>
    <row r="64" spans="1:2" x14ac:dyDescent="0.25">
      <c r="A64" s="66"/>
    </row>
    <row r="65" spans="1:2" ht="23.25" x14ac:dyDescent="0.25">
      <c r="A65" s="22" t="s">
        <v>84</v>
      </c>
    </row>
    <row r="66" spans="1:2" x14ac:dyDescent="0.25">
      <c r="A66" s="59" t="s">
        <v>129</v>
      </c>
    </row>
    <row r="67" spans="1:2" x14ac:dyDescent="0.25">
      <c r="A67" s="23" t="s">
        <v>128</v>
      </c>
    </row>
    <row r="68" spans="1:2" x14ac:dyDescent="0.25">
      <c r="A68" s="62" t="s">
        <v>127</v>
      </c>
    </row>
    <row r="70" spans="1:2" ht="23.25" x14ac:dyDescent="0.25">
      <c r="A70" s="22" t="s">
        <v>135</v>
      </c>
    </row>
    <row r="71" spans="1:2" s="276" customFormat="1" ht="17.45" customHeight="1" x14ac:dyDescent="0.25">
      <c r="A71" s="21" t="s">
        <v>227</v>
      </c>
      <c r="B71" s="21"/>
    </row>
    <row r="72" spans="1:2" x14ac:dyDescent="0.25">
      <c r="A72" t="s">
        <v>137</v>
      </c>
    </row>
    <row r="73" spans="1:2" x14ac:dyDescent="0.25">
      <c r="A73" t="s">
        <v>138</v>
      </c>
    </row>
    <row r="74" spans="1:2" x14ac:dyDescent="0.25">
      <c r="A74" t="s">
        <v>139</v>
      </c>
    </row>
  </sheetData>
  <mergeCells count="1">
    <mergeCell ref="A1:E1"/>
  </mergeCells>
  <hyperlinks>
    <hyperlink ref="A67" r:id="rId1" display="For more information or technical help with the model, contact:" xr:uid="{CA20EC46-2D4C-419A-9C99-71761802983F}"/>
    <hyperlink ref="A68" r:id="rId2" xr:uid="{A53350C9-F4E9-4B7F-9DA3-3CDACA5CC3A7}"/>
  </hyperlinks>
  <pageMargins left="0.7" right="0.7" top="0.75" bottom="0.75" header="0.3" footer="0.3"/>
  <pageSetup scale="55"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Q76"/>
  <sheetViews>
    <sheetView showGridLines="0" zoomScale="50" zoomScaleNormal="50" zoomScaleSheetLayoutView="40" workbookViewId="0">
      <selection activeCell="C1" sqref="C1:N1"/>
    </sheetView>
  </sheetViews>
  <sheetFormatPr defaultColWidth="9.140625" defaultRowHeight="15" x14ac:dyDescent="0.25"/>
  <cols>
    <col min="1" max="1" width="5.7109375" style="5" customWidth="1"/>
    <col min="2" max="2" width="4.7109375" style="5" customWidth="1"/>
    <col min="3" max="3" width="68.28515625" style="5" customWidth="1"/>
    <col min="4" max="4" width="8.28515625" style="151" customWidth="1"/>
    <col min="5" max="6" width="20.7109375" style="5" customWidth="1"/>
    <col min="7" max="7" width="9.85546875" style="5" customWidth="1"/>
    <col min="8" max="9" width="20.7109375" style="5" customWidth="1"/>
    <col min="10" max="10" width="11.42578125" style="5" customWidth="1"/>
    <col min="11" max="11" width="42" style="5" bestFit="1" customWidth="1"/>
    <col min="12" max="12" width="18.42578125" style="5" customWidth="1"/>
    <col min="13" max="13" width="8.28515625" style="5" customWidth="1"/>
    <col min="14" max="14" width="28.85546875" style="5" customWidth="1"/>
    <col min="15" max="15" width="26.7109375" style="5" customWidth="1"/>
    <col min="16" max="16" width="6.7109375" style="5" customWidth="1"/>
    <col min="17" max="16384" width="9.140625" style="5"/>
  </cols>
  <sheetData>
    <row r="1" spans="2:17" ht="26.25" customHeight="1" x14ac:dyDescent="0.25">
      <c r="B1" s="6"/>
      <c r="C1" s="341" t="s">
        <v>240</v>
      </c>
      <c r="D1" s="341"/>
      <c r="E1" s="341"/>
      <c r="F1" s="341"/>
      <c r="G1" s="341"/>
      <c r="H1" s="341"/>
      <c r="I1" s="341"/>
      <c r="J1" s="341"/>
      <c r="K1" s="341"/>
      <c r="L1" s="341"/>
      <c r="M1" s="341"/>
      <c r="N1" s="341"/>
      <c r="O1" s="56"/>
    </row>
    <row r="2" spans="2:17" ht="26.25" customHeight="1" x14ac:dyDescent="0.25">
      <c r="B2" s="6"/>
      <c r="C2" s="342" t="s">
        <v>49</v>
      </c>
      <c r="D2" s="342"/>
      <c r="E2" s="342"/>
      <c r="F2" s="342"/>
      <c r="G2" s="342"/>
      <c r="H2" s="342"/>
      <c r="I2" s="342"/>
      <c r="J2" s="342"/>
      <c r="K2" s="342"/>
      <c r="L2" s="342"/>
      <c r="M2" s="342"/>
      <c r="N2" s="342"/>
      <c r="O2" s="71"/>
    </row>
    <row r="3" spans="2:17" s="73" customFormat="1" ht="26.25" customHeight="1" thickBot="1" x14ac:dyDescent="0.3">
      <c r="B3" s="72"/>
      <c r="D3" s="74"/>
    </row>
    <row r="4" spans="2:17" ht="26.25" customHeight="1" x14ac:dyDescent="0.35">
      <c r="B4" s="6"/>
      <c r="C4" s="343" t="s">
        <v>48</v>
      </c>
      <c r="D4" s="344"/>
      <c r="E4" s="344"/>
      <c r="F4" s="344"/>
      <c r="G4" s="344"/>
      <c r="H4" s="344"/>
      <c r="I4" s="344"/>
      <c r="J4" s="344"/>
      <c r="K4" s="344"/>
      <c r="L4" s="344"/>
      <c r="M4" s="344"/>
      <c r="N4" s="345"/>
      <c r="O4" s="71"/>
    </row>
    <row r="5" spans="2:17" ht="26.25" customHeight="1" x14ac:dyDescent="0.35">
      <c r="B5" s="6"/>
      <c r="C5" s="75"/>
      <c r="D5" s="76"/>
      <c r="E5" s="312" t="s">
        <v>74</v>
      </c>
      <c r="F5" s="312"/>
      <c r="G5" s="77"/>
      <c r="H5" s="313" t="s">
        <v>75</v>
      </c>
      <c r="I5" s="314"/>
      <c r="J5" s="76"/>
      <c r="K5" s="312" t="s">
        <v>76</v>
      </c>
      <c r="L5" s="312"/>
      <c r="M5" s="346" t="s">
        <v>73</v>
      </c>
      <c r="N5" s="347"/>
      <c r="O5" s="71"/>
      <c r="Q5" s="78"/>
    </row>
    <row r="6" spans="2:17" ht="41.1" customHeight="1" x14ac:dyDescent="0.35">
      <c r="B6" s="6"/>
      <c r="C6" s="291" t="s">
        <v>106</v>
      </c>
      <c r="D6" s="292"/>
      <c r="E6" s="293">
        <f>E70*$E$24</f>
        <v>31032</v>
      </c>
      <c r="F6" s="293"/>
      <c r="G6" s="79"/>
      <c r="H6" s="293">
        <f>H73*$E$24</f>
        <v>78746.280346892934</v>
      </c>
      <c r="I6" s="293"/>
      <c r="J6" s="79"/>
      <c r="K6" s="293">
        <f>IF(E18="Case",IF(L22="Mark-Up",L25*L26*$E$22,(L23*E22)),IF(E18="Pallet",IF(L22="Mark-Up",L25*L26*$E$23,(L24*E23))))</f>
        <v>1680</v>
      </c>
      <c r="L6" s="293"/>
      <c r="M6" s="293">
        <f>IF(O22="Mark-Up",(O24*O25*IF(E18="Case",$E$22,E23)), (O23*O25*IF(E18="Case",$E$22,E23)))</f>
        <v>1680</v>
      </c>
      <c r="N6" s="294"/>
      <c r="O6" s="71"/>
      <c r="Q6" s="78"/>
    </row>
    <row r="7" spans="2:17" ht="30.75" customHeight="1" x14ac:dyDescent="0.35">
      <c r="B7" s="6"/>
      <c r="C7" s="11"/>
      <c r="D7" s="80" t="str">
        <f>"Total Cost Per "&amp;E18</f>
        <v>Total Cost Per Pallet</v>
      </c>
      <c r="E7" s="293">
        <f>IF(E18="Case",E6/$E$22,E6/E23)</f>
        <v>77.58</v>
      </c>
      <c r="F7" s="293"/>
      <c r="G7" s="81"/>
      <c r="H7" s="293">
        <f>IF(E18="Case",H6/$E$22,H6/E23)</f>
        <v>196.86570086723233</v>
      </c>
      <c r="I7" s="293"/>
      <c r="J7" s="81"/>
      <c r="K7" s="293">
        <f>IF(E18="Case",K6/$E$22,K6/E23)</f>
        <v>4.2</v>
      </c>
      <c r="L7" s="293"/>
      <c r="M7" s="293">
        <f>IF(E18="Case",M6/$E$22,M6/E23)</f>
        <v>4.2</v>
      </c>
      <c r="N7" s="294"/>
      <c r="O7" s="71"/>
    </row>
    <row r="8" spans="2:17" ht="26.25" customHeight="1" x14ac:dyDescent="0.25">
      <c r="B8" s="6"/>
      <c r="C8" s="11"/>
      <c r="D8" s="82"/>
      <c r="E8" s="301" t="s">
        <v>163</v>
      </c>
      <c r="F8" s="301"/>
      <c r="G8" s="301"/>
      <c r="H8" s="301"/>
      <c r="I8" s="301"/>
      <c r="J8" s="301"/>
      <c r="K8" s="301"/>
      <c r="L8" s="301"/>
      <c r="M8" s="301"/>
      <c r="N8" s="302"/>
      <c r="O8" s="71"/>
    </row>
    <row r="9" spans="2:17" ht="14.1" customHeight="1" x14ac:dyDescent="0.25">
      <c r="B9" s="6"/>
      <c r="C9" s="83"/>
      <c r="D9" s="84"/>
      <c r="E9" s="84"/>
      <c r="F9" s="84"/>
      <c r="G9" s="84"/>
      <c r="H9" s="84"/>
      <c r="I9" s="84"/>
      <c r="J9" s="84"/>
      <c r="K9" s="84"/>
      <c r="L9" s="84"/>
      <c r="M9" s="85"/>
      <c r="N9" s="86"/>
      <c r="O9" s="71"/>
    </row>
    <row r="10" spans="2:17" ht="15.95" customHeight="1" x14ac:dyDescent="0.25">
      <c r="B10" s="6"/>
      <c r="C10" s="87"/>
      <c r="D10" s="88"/>
      <c r="E10" s="84"/>
      <c r="F10" s="84"/>
      <c r="G10" s="84"/>
      <c r="H10" s="84"/>
      <c r="I10" s="84"/>
      <c r="J10" s="84"/>
      <c r="K10" s="84"/>
      <c r="L10" s="84"/>
      <c r="M10" s="84"/>
      <c r="N10" s="86"/>
      <c r="O10" s="71"/>
    </row>
    <row r="11" spans="2:17" ht="26.25" customHeight="1" x14ac:dyDescent="0.35">
      <c r="B11" s="6"/>
      <c r="C11" s="89"/>
      <c r="D11" s="90"/>
      <c r="E11" s="312" t="s">
        <v>140</v>
      </c>
      <c r="F11" s="312"/>
      <c r="G11" s="77"/>
      <c r="H11" s="313" t="s">
        <v>141</v>
      </c>
      <c r="I11" s="314"/>
      <c r="J11" s="84"/>
      <c r="K11" s="91" t="s">
        <v>164</v>
      </c>
      <c r="L11" s="84"/>
      <c r="M11" s="84"/>
      <c r="N11" s="86"/>
      <c r="O11" s="71"/>
    </row>
    <row r="12" spans="2:17" ht="52.5" customHeight="1" x14ac:dyDescent="0.25">
      <c r="B12" s="6"/>
      <c r="C12" s="303" t="s">
        <v>161</v>
      </c>
      <c r="D12" s="304"/>
      <c r="E12" s="293">
        <f>IF(E17="User Defined",E69,F69)</f>
        <v>0.28200000000000003</v>
      </c>
      <c r="F12" s="293"/>
      <c r="G12" s="92"/>
      <c r="H12" s="310">
        <f>IF(E17="User Defined",H72,I72)</f>
        <v>2.7221900289077445</v>
      </c>
      <c r="I12" s="310"/>
      <c r="J12" s="85"/>
      <c r="K12" s="295" t="s">
        <v>165</v>
      </c>
      <c r="L12" s="295"/>
      <c r="M12" s="295"/>
      <c r="N12" s="296"/>
      <c r="O12" s="71"/>
    </row>
    <row r="13" spans="2:17" ht="46.5" customHeight="1" thickBot="1" x14ac:dyDescent="0.3">
      <c r="B13" s="6"/>
      <c r="C13" s="305" t="s">
        <v>162</v>
      </c>
      <c r="D13" s="306"/>
      <c r="E13" s="309">
        <f>IF(E17="User Defined",E70,F70)</f>
        <v>2.5859999999999999</v>
      </c>
      <c r="F13" s="309"/>
      <c r="G13" s="93"/>
      <c r="H13" s="311">
        <f>IF(E17="User Defined",H73,I73)</f>
        <v>6.5621900289077448</v>
      </c>
      <c r="I13" s="311"/>
      <c r="J13" s="94"/>
      <c r="K13" s="297"/>
      <c r="L13" s="297"/>
      <c r="M13" s="297"/>
      <c r="N13" s="298"/>
      <c r="O13" s="71"/>
    </row>
    <row r="14" spans="2:17" s="74" customFormat="1" ht="26.25" customHeight="1" x14ac:dyDescent="0.25">
      <c r="F14" s="95"/>
      <c r="G14" s="95"/>
      <c r="H14" s="95"/>
      <c r="I14" s="95"/>
      <c r="J14" s="95"/>
      <c r="K14" s="96"/>
      <c r="L14" s="95"/>
      <c r="M14" s="95"/>
      <c r="N14" s="95"/>
      <c r="O14" s="95"/>
    </row>
    <row r="15" spans="2:17" s="74" customFormat="1" ht="31.7" customHeight="1" x14ac:dyDescent="0.5">
      <c r="B15" s="97" t="s">
        <v>96</v>
      </c>
      <c r="C15" s="97"/>
      <c r="D15" s="97"/>
      <c r="E15" s="97"/>
      <c r="F15" s="97"/>
      <c r="G15" s="97"/>
      <c r="H15" s="97"/>
      <c r="I15" s="97"/>
      <c r="J15" s="97"/>
      <c r="K15" s="97"/>
      <c r="L15" s="97"/>
      <c r="M15" s="97"/>
      <c r="N15" s="97"/>
      <c r="O15" s="97"/>
    </row>
    <row r="16" spans="2:17" s="74" customFormat="1" ht="12.6" customHeight="1" thickBot="1" x14ac:dyDescent="0.55000000000000004">
      <c r="B16" s="98"/>
      <c r="C16" s="98"/>
      <c r="D16" s="98"/>
      <c r="E16" s="98"/>
      <c r="F16" s="98"/>
      <c r="G16" s="98"/>
      <c r="H16" s="98"/>
      <c r="I16" s="98"/>
      <c r="J16" s="98"/>
      <c r="K16" s="98"/>
      <c r="L16" s="98"/>
      <c r="M16" s="98"/>
      <c r="N16" s="98"/>
      <c r="O16" s="98"/>
    </row>
    <row r="17" spans="1:16" s="74" customFormat="1" ht="26.25" customHeight="1" thickBot="1" x14ac:dyDescent="0.55000000000000004">
      <c r="B17" s="99"/>
      <c r="C17" s="100" t="s">
        <v>97</v>
      </c>
      <c r="D17" s="101">
        <v>1</v>
      </c>
      <c r="E17" s="34" t="s">
        <v>50</v>
      </c>
      <c r="F17" s="95"/>
      <c r="G17" s="95"/>
      <c r="H17" s="95"/>
      <c r="I17" s="95"/>
      <c r="J17" s="95"/>
      <c r="K17" s="95"/>
      <c r="L17" s="95"/>
      <c r="M17" s="95"/>
      <c r="N17" s="95"/>
      <c r="O17" s="95"/>
    </row>
    <row r="18" spans="1:16" ht="26.25" customHeight="1" thickBot="1" x14ac:dyDescent="0.3">
      <c r="A18" s="6"/>
      <c r="B18" s="6"/>
      <c r="C18" s="102" t="s">
        <v>98</v>
      </c>
      <c r="D18" s="101">
        <v>2</v>
      </c>
      <c r="E18" s="33" t="s">
        <v>58</v>
      </c>
      <c r="F18" s="103"/>
      <c r="G18" s="103"/>
      <c r="H18" s="103"/>
      <c r="I18" s="103"/>
      <c r="J18" s="103"/>
      <c r="K18" s="104"/>
      <c r="L18" s="6"/>
      <c r="M18" s="6"/>
      <c r="N18" s="71"/>
      <c r="O18" s="71"/>
    </row>
    <row r="19" spans="1:16" ht="26.25" customHeight="1" thickBot="1" x14ac:dyDescent="0.3">
      <c r="A19" s="6"/>
      <c r="B19" s="6"/>
      <c r="C19" s="105"/>
      <c r="D19" s="105"/>
      <c r="E19" s="106"/>
      <c r="F19" s="107"/>
      <c r="G19" s="108"/>
      <c r="H19" s="108"/>
      <c r="I19" s="108"/>
      <c r="J19" s="108"/>
      <c r="K19" s="109"/>
      <c r="L19" s="110"/>
      <c r="M19" s="110"/>
      <c r="N19" s="111"/>
      <c r="O19" s="111"/>
    </row>
    <row r="20" spans="1:16" ht="60.75" customHeight="1" thickBot="1" x14ac:dyDescent="0.3">
      <c r="A20" s="6"/>
      <c r="B20" s="6"/>
      <c r="C20" s="6"/>
      <c r="D20" s="56"/>
      <c r="E20" s="333" t="s">
        <v>80</v>
      </c>
      <c r="F20" s="334"/>
      <c r="G20" s="112" t="s">
        <v>79</v>
      </c>
      <c r="H20" s="331" t="s">
        <v>81</v>
      </c>
      <c r="I20" s="332"/>
      <c r="J20" s="112" t="s">
        <v>79</v>
      </c>
      <c r="K20" s="322" t="s">
        <v>78</v>
      </c>
      <c r="L20" s="323"/>
      <c r="M20" s="112" t="s">
        <v>79</v>
      </c>
      <c r="N20" s="307" t="s">
        <v>53</v>
      </c>
      <c r="O20" s="308"/>
    </row>
    <row r="21" spans="1:16" ht="19.5" thickBot="1" x14ac:dyDescent="0.35">
      <c r="B21" s="113"/>
      <c r="C21" s="114" t="s">
        <v>17</v>
      </c>
      <c r="D21" s="115"/>
      <c r="E21" s="116" t="s">
        <v>50</v>
      </c>
      <c r="F21" s="116" t="s">
        <v>60</v>
      </c>
      <c r="G21" s="117"/>
      <c r="H21" s="116" t="s">
        <v>50</v>
      </c>
      <c r="I21" s="116" t="s">
        <v>60</v>
      </c>
      <c r="J21" s="118"/>
      <c r="K21" s="119"/>
      <c r="L21" s="120" t="s">
        <v>50</v>
      </c>
      <c r="M21" s="121"/>
      <c r="N21" s="11"/>
      <c r="O21" s="120" t="s">
        <v>50</v>
      </c>
    </row>
    <row r="22" spans="1:16" ht="25.5" customHeight="1" thickBot="1" x14ac:dyDescent="0.3">
      <c r="B22" s="324" t="s">
        <v>51</v>
      </c>
      <c r="C22" s="122" t="s">
        <v>95</v>
      </c>
      <c r="D22" s="101">
        <v>3</v>
      </c>
      <c r="E22" s="64">
        <v>8000</v>
      </c>
      <c r="F22" s="269"/>
      <c r="G22" s="273"/>
      <c r="H22" s="64"/>
      <c r="I22" s="269"/>
      <c r="J22" s="123"/>
      <c r="K22" s="124" t="s">
        <v>110</v>
      </c>
      <c r="L22" s="35" t="s">
        <v>108</v>
      </c>
      <c r="M22" s="101">
        <v>33</v>
      </c>
      <c r="N22" s="124" t="s">
        <v>111</v>
      </c>
      <c r="O22" s="35" t="s">
        <v>108</v>
      </c>
      <c r="P22" s="101">
        <v>38</v>
      </c>
    </row>
    <row r="23" spans="1:16" ht="25.5" customHeight="1" thickBot="1" x14ac:dyDescent="0.3">
      <c r="B23" s="325"/>
      <c r="C23" s="122" t="s">
        <v>94</v>
      </c>
      <c r="D23" s="101">
        <v>4</v>
      </c>
      <c r="E23" s="64">
        <v>400</v>
      </c>
      <c r="F23" s="269"/>
      <c r="G23" s="273"/>
      <c r="H23" s="64">
        <v>400</v>
      </c>
      <c r="I23" s="270"/>
      <c r="J23" s="123"/>
      <c r="K23" s="125" t="s">
        <v>54</v>
      </c>
      <c r="L23" s="27"/>
      <c r="M23" s="101">
        <v>34</v>
      </c>
      <c r="N23" s="125" t="s">
        <v>72</v>
      </c>
      <c r="O23" s="26">
        <v>0.35</v>
      </c>
      <c r="P23" s="101">
        <v>39</v>
      </c>
    </row>
    <row r="24" spans="1:16" ht="24.95" customHeight="1" thickBot="1" x14ac:dyDescent="0.3">
      <c r="B24" s="325"/>
      <c r="C24" s="122" t="s">
        <v>93</v>
      </c>
      <c r="D24" s="101">
        <v>5</v>
      </c>
      <c r="E24" s="64">
        <v>12000</v>
      </c>
      <c r="F24" s="274">
        <v>24042</v>
      </c>
      <c r="G24" s="273"/>
      <c r="H24" s="64">
        <v>12000</v>
      </c>
      <c r="I24" s="272">
        <v>24042</v>
      </c>
      <c r="J24" s="123"/>
      <c r="K24" s="125" t="s">
        <v>55</v>
      </c>
      <c r="L24" s="31"/>
      <c r="M24" s="101">
        <v>35</v>
      </c>
      <c r="N24" s="125" t="s">
        <v>71</v>
      </c>
      <c r="O24" s="26">
        <v>0.15</v>
      </c>
      <c r="P24" s="101">
        <v>40</v>
      </c>
    </row>
    <row r="25" spans="1:16" ht="24.95" customHeight="1" thickBot="1" x14ac:dyDescent="0.3">
      <c r="B25" s="325"/>
      <c r="C25" s="122" t="s">
        <v>61</v>
      </c>
      <c r="D25" s="101">
        <v>6</v>
      </c>
      <c r="E25" s="64">
        <v>24</v>
      </c>
      <c r="F25" s="274">
        <v>24</v>
      </c>
      <c r="G25" s="273"/>
      <c r="H25" s="64"/>
      <c r="I25" s="272">
        <v>24</v>
      </c>
      <c r="J25" s="123"/>
      <c r="K25" s="125" t="s">
        <v>71</v>
      </c>
      <c r="L25" s="26">
        <v>0.15</v>
      </c>
      <c r="M25" s="101">
        <v>36</v>
      </c>
      <c r="N25" s="126" t="str">
        <f>"Value per "&amp;E18</f>
        <v>Value per Pallet</v>
      </c>
      <c r="O25" s="28">
        <v>28</v>
      </c>
      <c r="P25" s="101">
        <v>41</v>
      </c>
    </row>
    <row r="26" spans="1:16" ht="24.95" customHeight="1" thickBot="1" x14ac:dyDescent="0.3">
      <c r="B26" s="325"/>
      <c r="C26" s="122" t="s">
        <v>62</v>
      </c>
      <c r="D26" s="101">
        <v>7</v>
      </c>
      <c r="E26" s="64">
        <v>8</v>
      </c>
      <c r="F26" s="274">
        <v>8</v>
      </c>
      <c r="G26" s="273"/>
      <c r="H26" s="64"/>
      <c r="I26" s="272">
        <v>8</v>
      </c>
      <c r="J26" s="123"/>
      <c r="K26" s="126" t="str">
        <f>"Value per "&amp; E18</f>
        <v>Value per Pallet</v>
      </c>
      <c r="L26" s="28">
        <v>28</v>
      </c>
      <c r="M26" s="101">
        <v>37</v>
      </c>
      <c r="N26" s="56"/>
      <c r="O26" s="56"/>
      <c r="P26" s="56"/>
    </row>
    <row r="27" spans="1:16" ht="24.95" customHeight="1" thickBot="1" x14ac:dyDescent="0.3">
      <c r="B27" s="325"/>
      <c r="C27" s="122" t="s">
        <v>101</v>
      </c>
      <c r="D27" s="101">
        <v>8</v>
      </c>
      <c r="E27" s="271">
        <v>3</v>
      </c>
      <c r="F27" s="275">
        <v>4</v>
      </c>
      <c r="G27" s="101">
        <v>20</v>
      </c>
      <c r="H27" s="271">
        <v>5</v>
      </c>
      <c r="I27" s="223">
        <v>4</v>
      </c>
      <c r="J27" s="123"/>
      <c r="M27" s="121"/>
      <c r="N27" s="127"/>
      <c r="O27" s="128"/>
      <c r="P27" s="56"/>
    </row>
    <row r="28" spans="1:16" ht="24.95" customHeight="1" thickBot="1" x14ac:dyDescent="0.3">
      <c r="B28" s="325"/>
      <c r="C28" s="122" t="s">
        <v>102</v>
      </c>
      <c r="D28" s="101">
        <v>9</v>
      </c>
      <c r="E28" s="271">
        <v>48</v>
      </c>
      <c r="F28" s="275">
        <v>52</v>
      </c>
      <c r="G28" s="101">
        <v>21</v>
      </c>
      <c r="H28" s="32">
        <v>48</v>
      </c>
      <c r="I28" s="223">
        <v>52</v>
      </c>
      <c r="J28" s="123"/>
      <c r="M28" s="121"/>
      <c r="N28" s="127"/>
      <c r="O28" s="128"/>
      <c r="P28" s="56"/>
    </row>
    <row r="29" spans="1:16" ht="24.95" customHeight="1" x14ac:dyDescent="0.25">
      <c r="B29" s="325"/>
      <c r="C29" s="129" t="s">
        <v>1</v>
      </c>
      <c r="D29" s="101">
        <v>10</v>
      </c>
      <c r="E29" s="39"/>
      <c r="F29" s="224">
        <v>2375</v>
      </c>
      <c r="G29" s="101">
        <v>22</v>
      </c>
      <c r="H29" s="46">
        <v>2375</v>
      </c>
      <c r="I29" s="226">
        <v>2375</v>
      </c>
      <c r="J29" s="130"/>
      <c r="M29" s="121"/>
      <c r="N29" s="131"/>
      <c r="O29" s="56"/>
      <c r="P29" s="56"/>
    </row>
    <row r="30" spans="1:16" ht="24.95" customHeight="1" x14ac:dyDescent="0.25">
      <c r="B30" s="325"/>
      <c r="C30" s="129" t="s">
        <v>0</v>
      </c>
      <c r="D30" s="101">
        <v>11</v>
      </c>
      <c r="E30" s="40">
        <f>E31*$E$24/E32</f>
        <v>4160</v>
      </c>
      <c r="F30" s="224">
        <f>F31*$F$24/F32</f>
        <v>8334.5600000000013</v>
      </c>
      <c r="G30" s="101">
        <v>23</v>
      </c>
      <c r="H30" s="47">
        <f>H31*$H$24/H32</f>
        <v>4160</v>
      </c>
      <c r="I30" s="226">
        <f>I31*$I$24/I32</f>
        <v>8334.5600000000013</v>
      </c>
      <c r="J30" s="130"/>
      <c r="M30" s="95"/>
      <c r="N30" s="95"/>
      <c r="O30" s="56"/>
      <c r="P30" s="56"/>
    </row>
    <row r="31" spans="1:16" ht="24.95" customHeight="1" x14ac:dyDescent="0.25">
      <c r="B31" s="325"/>
      <c r="C31" s="132" t="s">
        <v>77</v>
      </c>
      <c r="D31" s="101">
        <v>12</v>
      </c>
      <c r="E31" s="40">
        <v>2.6</v>
      </c>
      <c r="F31" s="224">
        <v>2.6</v>
      </c>
      <c r="G31" s="101">
        <v>24</v>
      </c>
      <c r="H31" s="47">
        <v>2.6</v>
      </c>
      <c r="I31" s="226">
        <v>2.6</v>
      </c>
      <c r="J31" s="130"/>
      <c r="M31" s="95"/>
      <c r="N31" s="95"/>
      <c r="O31" s="56"/>
      <c r="P31" s="56"/>
    </row>
    <row r="32" spans="1:16" ht="24.95" customHeight="1" x14ac:dyDescent="0.25">
      <c r="B32" s="325"/>
      <c r="C32" s="132" t="s">
        <v>15</v>
      </c>
      <c r="D32" s="101">
        <v>13</v>
      </c>
      <c r="E32" s="41">
        <v>7.5</v>
      </c>
      <c r="F32" s="225">
        <v>7.5</v>
      </c>
      <c r="G32" s="101">
        <v>25</v>
      </c>
      <c r="H32" s="48">
        <v>7.5</v>
      </c>
      <c r="I32" s="225">
        <v>7.5</v>
      </c>
      <c r="J32" s="133"/>
      <c r="K32" s="134"/>
      <c r="L32" s="134"/>
    </row>
    <row r="33" spans="2:12" ht="24.95" customHeight="1" x14ac:dyDescent="0.25">
      <c r="B33" s="325"/>
      <c r="C33" s="129" t="s">
        <v>243</v>
      </c>
      <c r="D33" s="101">
        <v>14</v>
      </c>
      <c r="E33" s="40">
        <v>200</v>
      </c>
      <c r="F33" s="226">
        <v>200</v>
      </c>
      <c r="G33" s="101">
        <v>26</v>
      </c>
      <c r="H33" s="47">
        <v>200</v>
      </c>
      <c r="I33" s="226">
        <v>200</v>
      </c>
      <c r="J33" s="130"/>
      <c r="K33" s="56"/>
      <c r="L33" s="135"/>
    </row>
    <row r="34" spans="2:12" ht="24.95" customHeight="1" x14ac:dyDescent="0.25">
      <c r="B34" s="325"/>
      <c r="C34" s="136" t="s">
        <v>69</v>
      </c>
      <c r="D34" s="101">
        <v>15</v>
      </c>
      <c r="E34" s="42">
        <v>30</v>
      </c>
      <c r="F34" s="227">
        <v>30</v>
      </c>
      <c r="G34" s="101">
        <v>27</v>
      </c>
      <c r="H34" s="49">
        <v>30</v>
      </c>
      <c r="I34" s="227">
        <v>30</v>
      </c>
      <c r="J34" s="137"/>
      <c r="K34" s="56"/>
      <c r="L34" s="56"/>
    </row>
    <row r="35" spans="2:12" ht="24.95" customHeight="1" thickBot="1" x14ac:dyDescent="0.3">
      <c r="B35" s="325"/>
      <c r="C35" s="136" t="s">
        <v>70</v>
      </c>
      <c r="D35" s="101">
        <v>16</v>
      </c>
      <c r="E35" s="44">
        <v>50</v>
      </c>
      <c r="F35" s="227">
        <v>50</v>
      </c>
      <c r="G35" s="101">
        <v>28</v>
      </c>
      <c r="H35" s="50">
        <v>50</v>
      </c>
      <c r="I35" s="227">
        <v>50</v>
      </c>
      <c r="J35" s="137"/>
      <c r="K35" s="6"/>
      <c r="L35" s="6"/>
    </row>
    <row r="36" spans="2:12" ht="24.95" customHeight="1" x14ac:dyDescent="0.25">
      <c r="B36" s="315" t="s">
        <v>21</v>
      </c>
      <c r="C36" s="138" t="s">
        <v>16</v>
      </c>
      <c r="D36" s="101">
        <v>17</v>
      </c>
      <c r="E36" s="45">
        <v>3000</v>
      </c>
      <c r="F36" s="226">
        <v>12000</v>
      </c>
      <c r="G36" s="139"/>
      <c r="H36" s="318" t="s">
        <v>29</v>
      </c>
      <c r="I36" s="319"/>
      <c r="J36" s="140"/>
      <c r="K36" s="6"/>
      <c r="L36" s="6"/>
    </row>
    <row r="37" spans="2:12" ht="24.95" customHeight="1" x14ac:dyDescent="0.25">
      <c r="B37" s="316"/>
      <c r="C37" s="122" t="s">
        <v>18</v>
      </c>
      <c r="D37" s="101">
        <v>18</v>
      </c>
      <c r="E37" s="40">
        <v>1000</v>
      </c>
      <c r="F37" s="226">
        <v>1000</v>
      </c>
      <c r="G37" s="130"/>
      <c r="H37" s="320"/>
      <c r="I37" s="319"/>
      <c r="J37" s="140"/>
      <c r="K37" s="6"/>
      <c r="L37" s="6"/>
    </row>
    <row r="38" spans="2:12" ht="24.95" customHeight="1" thickBot="1" x14ac:dyDescent="0.3">
      <c r="B38" s="317"/>
      <c r="C38" s="141" t="s">
        <v>31</v>
      </c>
      <c r="D38" s="101">
        <v>19</v>
      </c>
      <c r="E38" s="43">
        <v>6000</v>
      </c>
      <c r="F38" s="226">
        <v>7500</v>
      </c>
      <c r="G38" s="142"/>
      <c r="H38" s="321"/>
      <c r="I38" s="319"/>
      <c r="J38" s="140"/>
      <c r="K38" s="6"/>
      <c r="L38" s="6"/>
    </row>
    <row r="39" spans="2:12" ht="24.95" customHeight="1" x14ac:dyDescent="0.25">
      <c r="B39" s="315" t="s">
        <v>22</v>
      </c>
      <c r="C39" s="143" t="s">
        <v>52</v>
      </c>
      <c r="D39" s="144"/>
      <c r="E39" s="326" t="s">
        <v>29</v>
      </c>
      <c r="F39" s="327"/>
      <c r="G39" s="101">
        <v>29</v>
      </c>
      <c r="H39" s="45">
        <f>500*52</f>
        <v>26000</v>
      </c>
      <c r="I39" s="226">
        <v>20150</v>
      </c>
      <c r="J39" s="130"/>
      <c r="K39" s="6"/>
      <c r="L39" s="6"/>
    </row>
    <row r="40" spans="2:12" ht="24.95" customHeight="1" x14ac:dyDescent="0.25">
      <c r="B40" s="316"/>
      <c r="C40" s="145" t="s">
        <v>32</v>
      </c>
      <c r="D40" s="127"/>
      <c r="E40" s="328"/>
      <c r="F40" s="327"/>
      <c r="G40" s="101">
        <v>30</v>
      </c>
      <c r="H40" s="40">
        <v>0.05</v>
      </c>
      <c r="I40" s="226">
        <v>0.13</v>
      </c>
      <c r="J40" s="130"/>
      <c r="K40" s="6"/>
      <c r="L40" s="6"/>
    </row>
    <row r="41" spans="2:12" ht="24.95" customHeight="1" x14ac:dyDescent="0.25">
      <c r="B41" s="316"/>
      <c r="C41" s="145" t="s">
        <v>33</v>
      </c>
      <c r="D41" s="127"/>
      <c r="E41" s="328"/>
      <c r="F41" s="327"/>
      <c r="G41" s="101">
        <v>31</v>
      </c>
      <c r="H41" s="51">
        <v>0.05</v>
      </c>
      <c r="I41" s="226">
        <v>1</v>
      </c>
      <c r="J41" s="130"/>
      <c r="K41" s="6"/>
      <c r="L41" s="6"/>
    </row>
    <row r="42" spans="2:12" ht="24.95" customHeight="1" x14ac:dyDescent="0.25">
      <c r="B42" s="316"/>
      <c r="C42" s="145" t="s">
        <v>34</v>
      </c>
      <c r="D42" s="127"/>
      <c r="E42" s="328"/>
      <c r="F42" s="327"/>
      <c r="G42" s="101"/>
      <c r="H42" s="146">
        <f>($H$24/20)/52*0.75</f>
        <v>8.6538461538461533</v>
      </c>
      <c r="I42" s="228">
        <v>20</v>
      </c>
      <c r="J42" s="147"/>
      <c r="K42" s="6"/>
      <c r="L42" s="6"/>
    </row>
    <row r="43" spans="2:12" ht="24.95" customHeight="1" x14ac:dyDescent="0.25">
      <c r="B43" s="316"/>
      <c r="C43" s="145" t="s">
        <v>35</v>
      </c>
      <c r="D43" s="127"/>
      <c r="E43" s="328"/>
      <c r="F43" s="327"/>
      <c r="G43" s="101">
        <v>32</v>
      </c>
      <c r="H43" s="29"/>
      <c r="I43" s="226">
        <v>0.6</v>
      </c>
      <c r="J43" s="130"/>
      <c r="K43" s="6"/>
      <c r="L43" s="6"/>
    </row>
    <row r="44" spans="2:12" ht="24.95" customHeight="1" thickBot="1" x14ac:dyDescent="0.3">
      <c r="B44" s="317"/>
      <c r="C44" s="148" t="s">
        <v>36</v>
      </c>
      <c r="D44" s="149"/>
      <c r="E44" s="329"/>
      <c r="F44" s="330"/>
      <c r="G44" s="101"/>
      <c r="H44" s="150">
        <f>($H$24/20)/52*0.25</f>
        <v>2.8846153846153846</v>
      </c>
      <c r="I44" s="228">
        <v>20</v>
      </c>
      <c r="J44" s="147"/>
      <c r="K44" s="6"/>
      <c r="L44" s="6"/>
    </row>
    <row r="46" spans="2:12" hidden="1" x14ac:dyDescent="0.25">
      <c r="I46" s="6"/>
      <c r="J46" s="6"/>
      <c r="K46" s="6"/>
      <c r="L46" s="6"/>
    </row>
    <row r="47" spans="2:12" hidden="1" x14ac:dyDescent="0.25">
      <c r="I47" s="6"/>
      <c r="J47" s="6"/>
      <c r="K47" s="6"/>
      <c r="L47" s="6"/>
    </row>
    <row r="48" spans="2:12" ht="15.75" hidden="1" thickBot="1" x14ac:dyDescent="0.3">
      <c r="C48" s="4" t="s">
        <v>63</v>
      </c>
      <c r="D48" s="54"/>
      <c r="I48" s="6"/>
      <c r="J48" s="6"/>
      <c r="K48" s="6"/>
      <c r="L48" s="6"/>
    </row>
    <row r="49" spans="3:12" ht="48" hidden="1" customHeight="1" x14ac:dyDescent="0.25">
      <c r="C49" s="7" t="s">
        <v>23</v>
      </c>
      <c r="D49" s="55"/>
      <c r="E49" s="8" t="s">
        <v>38</v>
      </c>
      <c r="F49" s="9" t="s">
        <v>37</v>
      </c>
      <c r="G49" s="9"/>
      <c r="H49" s="9" t="s">
        <v>42</v>
      </c>
      <c r="I49" s="8" t="s">
        <v>40</v>
      </c>
      <c r="J49" s="19"/>
      <c r="K49" s="10" t="s">
        <v>39</v>
      </c>
      <c r="L49" s="10" t="s">
        <v>43</v>
      </c>
    </row>
    <row r="50" spans="3:12" hidden="1" x14ac:dyDescent="0.25">
      <c r="C50" s="11" t="str">
        <f>C29</f>
        <v>Insurance Costs</v>
      </c>
      <c r="D50" s="56"/>
      <c r="E50" s="12">
        <f>IFERROR(IF(OR(ISBLANK(VLOOKUP(C50,$C$29:$I$44,3,FALSE)),VLOOKUP(C50,$C$29:$I$44,3,FALSE)/$E$24=0),F50,VLOOKUP(C50,$C$29:$I$44,3,FALSE)/$E$24),-1)</f>
        <v>0.10199999999999999</v>
      </c>
      <c r="F50" s="12">
        <v>0.10199999999999999</v>
      </c>
      <c r="G50" s="12"/>
      <c r="H50" s="12">
        <f>IF(E50=-1,F50,E50)</f>
        <v>0.10199999999999999</v>
      </c>
      <c r="I50" s="12">
        <f>IFERROR(IF(OR(ISBLANK(VLOOKUP(C50,$C$29:$I$44,6,FALSE)),VLOOKUP(C50,$C$29:$I$44,6,FALSE)/$E$24=0),K50,VLOOKUP(C50,$C$29:$I$44,6,FALSE)/$E$24),-1)</f>
        <v>0.19791666666666666</v>
      </c>
      <c r="J50" s="12"/>
      <c r="K50" s="13">
        <v>0.1</v>
      </c>
      <c r="L50" s="12">
        <f>IF(I50=-1,K50,I50)</f>
        <v>0.19791666666666666</v>
      </c>
    </row>
    <row r="51" spans="3:12" hidden="1" x14ac:dyDescent="0.25">
      <c r="C51" s="11" t="s">
        <v>0</v>
      </c>
      <c r="D51" s="56"/>
      <c r="E51" s="12">
        <f>IFERROR(IF(OR(ISBLANK(VLOOKUP(C51,$C$29:$I$44,3,FALSE)),VLOOKUP(C51,$C$29:$I$44,3,FALSE)/$E$24=0),F51,VLOOKUP(C51,$C$29:$I$44,3,FALSE)/$E$24),-1)</f>
        <v>0.34666666666666668</v>
      </c>
      <c r="F51" s="12">
        <v>0.23799999999999999</v>
      </c>
      <c r="G51" s="12"/>
      <c r="H51" s="12">
        <f t="shared" ref="H51:H57" si="0">IF(E51=-1,F51,E51)</f>
        <v>0.34666666666666668</v>
      </c>
      <c r="I51" s="12">
        <f>IFERROR(IF(OR(ISBLANK(VLOOKUP(C51,$C$29:$I$44,6,FALSE)),VLOOKUP(C51,$C$29:$I$44,6,FALSE)/$E$24=0),K51,VLOOKUP(C51,$C$29:$I$44,6,FALSE)/$E$24),-1)</f>
        <v>0.34666666666666668</v>
      </c>
      <c r="J51" s="12"/>
      <c r="K51" s="13">
        <v>0.23799999999999999</v>
      </c>
      <c r="L51" s="12">
        <f t="shared" ref="L51:L54" si="1">IF(I51=-1,K51,I51)</f>
        <v>0.34666666666666668</v>
      </c>
    </row>
    <row r="52" spans="3:12" hidden="1" x14ac:dyDescent="0.25">
      <c r="C52" s="11" t="s">
        <v>92</v>
      </c>
      <c r="D52" s="56"/>
      <c r="E52" s="36">
        <f>(E27*E26)*E25*E28</f>
        <v>27648</v>
      </c>
      <c r="F52" s="229">
        <f>F25*F26*F27*F28</f>
        <v>39936</v>
      </c>
      <c r="G52" s="12"/>
      <c r="H52" s="12"/>
      <c r="I52" s="37">
        <f>(H27*E26)*E25*H28</f>
        <v>46080</v>
      </c>
      <c r="J52" s="12"/>
      <c r="K52" s="229">
        <f>I25*I26*I27*I28</f>
        <v>39936</v>
      </c>
      <c r="L52" s="12"/>
    </row>
    <row r="53" spans="3:12" hidden="1" x14ac:dyDescent="0.25">
      <c r="C53" s="11" t="s">
        <v>103</v>
      </c>
      <c r="D53" s="56"/>
      <c r="E53" s="38">
        <f>E52/E24</f>
        <v>2.3039999999999998</v>
      </c>
      <c r="F53" s="12">
        <f>F52/F24</f>
        <v>1.6610930870975793</v>
      </c>
      <c r="G53" s="12"/>
      <c r="H53" s="12"/>
      <c r="I53" s="38">
        <f>I52/E24</f>
        <v>3.84</v>
      </c>
      <c r="J53" s="12"/>
      <c r="K53" s="12">
        <f>K52/I24</f>
        <v>1.6610930870975793</v>
      </c>
      <c r="L53" s="12"/>
    </row>
    <row r="54" spans="3:12" ht="15.75" hidden="1" x14ac:dyDescent="0.25">
      <c r="C54" s="14" t="s">
        <v>30</v>
      </c>
      <c r="D54" s="52"/>
      <c r="E54" s="12">
        <f>IFERROR(IF(OR(ISBLANK(VLOOKUP(C54,$C$29:$I$44,3,FALSE)),VLOOKUP(C54,$C$29:$I$44,3,FALSE)/$E$24=0),F54,VLOOKUP(C54,$C$29:$I$44,3,FALSE)/$E$24),-1)</f>
        <v>-1</v>
      </c>
      <c r="F54" s="12">
        <v>1.0999999999999999E-2</v>
      </c>
      <c r="G54" s="12"/>
      <c r="H54" s="12">
        <f t="shared" si="0"/>
        <v>1.0999999999999999E-2</v>
      </c>
      <c r="I54" s="12">
        <f>IFERROR(IF(OR(ISBLANK(VLOOKUP(C54,$C$29:$I$44,6,FALSE)),VLOOKUP(C54,$C$29:$I$44,6,FALSE)/$E$24=0),K54,VLOOKUP(C54,$C$29:$I$44,6,FALSE)/$E$24),-1)</f>
        <v>-1</v>
      </c>
      <c r="J54" s="12"/>
      <c r="K54" s="13">
        <v>0.01</v>
      </c>
      <c r="L54" s="12">
        <f t="shared" si="1"/>
        <v>0.01</v>
      </c>
    </row>
    <row r="55" spans="3:12" hidden="1" x14ac:dyDescent="0.25">
      <c r="C55" s="11" t="s">
        <v>16</v>
      </c>
      <c r="D55" s="56"/>
      <c r="E55" s="12">
        <f>IFERROR(IF(OR(ISBLANK(VLOOKUP(C55,$C$29:$I$44,3,FALSE)),VLOOKUP(C55,$C$29:$I$44,3,FALSE)/$E$24=0),F55,VLOOKUP(C55,$C$29:$I$44,3,FALSE)/$E$24),-1)</f>
        <v>0.25</v>
      </c>
      <c r="F55" s="12">
        <v>0.46400000000000002</v>
      </c>
      <c r="G55" s="12"/>
      <c r="H55" s="12">
        <f t="shared" si="0"/>
        <v>0.25</v>
      </c>
      <c r="I55" s="15"/>
      <c r="J55" s="15"/>
      <c r="K55" s="15"/>
      <c r="L55" s="15"/>
    </row>
    <row r="56" spans="3:12" hidden="1" x14ac:dyDescent="0.25">
      <c r="C56" s="11" t="s">
        <v>18</v>
      </c>
      <c r="D56" s="56"/>
      <c r="E56" s="12">
        <f>IFERROR(IF(OR(ISBLANK(VLOOKUP(C56,$C$29:$I$44,3,FALSE)),VLOOKUP(C56,$C$29:$I$44,3,FALSE)/$E$24=0),F56,VLOOKUP(C56,$C$29:$I$44,3,FALSE)/$E$24),-1)</f>
        <v>8.3333333333333329E-2</v>
      </c>
      <c r="F56" s="12">
        <f>0.045</f>
        <v>4.4999999999999998E-2</v>
      </c>
      <c r="G56" s="12"/>
      <c r="H56" s="12">
        <f>IF(E56&lt;&gt;-1,IF(E24&gt;20000,0.02,0.045),F56)</f>
        <v>4.4999999999999998E-2</v>
      </c>
      <c r="I56" s="15"/>
      <c r="J56" s="15"/>
      <c r="K56" s="15"/>
      <c r="L56" s="15"/>
    </row>
    <row r="57" spans="3:12" hidden="1" x14ac:dyDescent="0.25">
      <c r="C57" s="11" t="s">
        <v>31</v>
      </c>
      <c r="D57" s="56"/>
      <c r="E57" s="12">
        <f>IFERROR(IF(OR(ISBLANK(VLOOKUP(C57,$C$29:$I$44,3,FALSE)),VLOOKUP(C57,$C$29:$I$44,3,FALSE)/$E$24=0),F57,VLOOKUP(C57,$C$29:$I$44,3,FALSE)/$E$24),-1)</f>
        <v>0.5</v>
      </c>
      <c r="F57" s="12">
        <f>F38/$F$24</f>
        <v>0.31195408035937111</v>
      </c>
      <c r="G57" s="12"/>
      <c r="H57" s="12">
        <f t="shared" si="0"/>
        <v>0.5</v>
      </c>
      <c r="I57" s="15"/>
      <c r="J57" s="15"/>
      <c r="K57" s="15"/>
      <c r="L57" s="15"/>
    </row>
    <row r="58" spans="3:12" hidden="1" x14ac:dyDescent="0.25">
      <c r="C58" s="11" t="s">
        <v>19</v>
      </c>
      <c r="D58" s="56"/>
      <c r="E58" s="15"/>
      <c r="F58" s="15"/>
      <c r="G58" s="15"/>
      <c r="H58" s="15"/>
      <c r="I58" s="13">
        <f>IFERROR(IF(H39/$E$24=0,K58,H39/$E$24),-1)</f>
        <v>2.1666666666666665</v>
      </c>
      <c r="J58" s="13"/>
      <c r="K58" s="13">
        <f>I39/$E$24</f>
        <v>1.6791666666666667</v>
      </c>
      <c r="L58" s="12">
        <f>IF(I58=-1,K58,I58)</f>
        <v>2.1666666666666665</v>
      </c>
    </row>
    <row r="59" spans="3:12" hidden="1" x14ac:dyDescent="0.25">
      <c r="C59" s="11" t="s">
        <v>20</v>
      </c>
      <c r="D59" s="56"/>
      <c r="E59" s="15"/>
      <c r="F59" s="15"/>
      <c r="G59" s="15"/>
      <c r="H59" s="15"/>
      <c r="I59" s="12">
        <f>((I60*I61+I62*I63))*(52/$E$24)+I64</f>
        <v>1.8791666666666666E-3</v>
      </c>
      <c r="J59" s="12"/>
      <c r="K59" s="12">
        <f>((K60*K61+K62*K63))*(52/$I$24)+K64</f>
        <v>0.19921221196239913</v>
      </c>
      <c r="L59" s="12">
        <f>((L60*L61+L62*L63))*(52/$I$24)+L64</f>
        <v>9.4002890774477993E-4</v>
      </c>
    </row>
    <row r="60" spans="3:12" hidden="1" x14ac:dyDescent="0.25">
      <c r="C60" s="16" t="s">
        <v>24</v>
      </c>
      <c r="D60" s="53"/>
      <c r="E60" s="15"/>
      <c r="F60" s="15"/>
      <c r="G60" s="15"/>
      <c r="H60" s="15"/>
      <c r="I60" s="13">
        <f>H41</f>
        <v>0.05</v>
      </c>
      <c r="J60" s="13"/>
      <c r="K60" s="13">
        <f>I41</f>
        <v>1</v>
      </c>
      <c r="L60" s="12">
        <f>IF(I60=-1,K60,I60)</f>
        <v>0.05</v>
      </c>
    </row>
    <row r="61" spans="3:12" hidden="1" x14ac:dyDescent="0.25">
      <c r="C61" s="16" t="s">
        <v>25</v>
      </c>
      <c r="D61" s="53"/>
      <c r="E61" s="15"/>
      <c r="F61" s="15"/>
      <c r="G61" s="15"/>
      <c r="H61" s="15"/>
      <c r="I61" s="13">
        <f>($E$24/20)/52*0.75</f>
        <v>8.6538461538461533</v>
      </c>
      <c r="J61" s="13"/>
      <c r="K61" s="13">
        <v>20</v>
      </c>
      <c r="L61" s="12">
        <f t="shared" ref="L61" si="2">IF(I61=-1,K61,I61)</f>
        <v>8.6538461538461533</v>
      </c>
    </row>
    <row r="62" spans="3:12" hidden="1" x14ac:dyDescent="0.25">
      <c r="C62" s="16" t="s">
        <v>27</v>
      </c>
      <c r="D62" s="53"/>
      <c r="E62" s="15"/>
      <c r="F62" s="15"/>
      <c r="G62" s="15"/>
      <c r="H62" s="15"/>
      <c r="I62" s="13">
        <f>H43</f>
        <v>0</v>
      </c>
      <c r="J62" s="13"/>
      <c r="K62" s="13">
        <f>I43</f>
        <v>0.6</v>
      </c>
      <c r="L62" s="12">
        <f>IF(I62=-1,K62,I62)</f>
        <v>0</v>
      </c>
    </row>
    <row r="63" spans="3:12" hidden="1" x14ac:dyDescent="0.25">
      <c r="C63" s="17" t="s">
        <v>26</v>
      </c>
      <c r="D63" s="53"/>
      <c r="E63" s="15"/>
      <c r="F63" s="15"/>
      <c r="G63" s="15"/>
      <c r="H63" s="15"/>
      <c r="I63" s="13">
        <f>H44</f>
        <v>2.8846153846153846</v>
      </c>
      <c r="J63" s="13"/>
      <c r="K63" s="13">
        <f>I44</f>
        <v>20</v>
      </c>
      <c r="L63" s="12">
        <f>IF(I63=-1,K63,I63)</f>
        <v>2.8846153846153846</v>
      </c>
    </row>
    <row r="64" spans="3:12" ht="15.75" hidden="1" x14ac:dyDescent="0.25">
      <c r="C64" s="18" t="s">
        <v>32</v>
      </c>
      <c r="D64" s="57"/>
      <c r="E64" s="15"/>
      <c r="F64" s="15"/>
      <c r="G64" s="15"/>
      <c r="H64" s="15"/>
      <c r="I64" s="12">
        <f>IFERROR(IF(OR(ISBLANK(VLOOKUP(C64,$C$29:$I$44,6,FALSE)),VLOOKUP(C64,$C$29:$I$44,6,FALSE)/$E$24=0),K64,VLOOKUP(C64,$C$29:$I$44,6,FALSE)/$E$24),-1)</f>
        <v>4.1666666666666669E-6</v>
      </c>
      <c r="J64" s="13"/>
      <c r="K64" s="13">
        <v>0.13</v>
      </c>
      <c r="L64" s="12">
        <f>IF(I64=-1,K64,I64)</f>
        <v>4.1666666666666669E-6</v>
      </c>
    </row>
    <row r="65" spans="1:12" s="151" customFormat="1" ht="16.5" thickBot="1" x14ac:dyDescent="0.3">
      <c r="C65" s="57"/>
      <c r="D65" s="57"/>
      <c r="E65" s="152"/>
      <c r="F65" s="152"/>
      <c r="G65" s="152"/>
      <c r="H65" s="152"/>
      <c r="I65" s="152"/>
      <c r="J65" s="152"/>
      <c r="K65" s="152"/>
      <c r="L65" s="131"/>
    </row>
    <row r="66" spans="1:12" ht="57.75" customHeight="1" thickBot="1" x14ac:dyDescent="0.55000000000000004">
      <c r="C66" s="299" t="s">
        <v>28</v>
      </c>
      <c r="D66" s="300"/>
      <c r="E66" s="153" t="s">
        <v>64</v>
      </c>
      <c r="F66" s="154" t="s">
        <v>66</v>
      </c>
      <c r="G66" s="155"/>
      <c r="H66" s="156" t="s">
        <v>65</v>
      </c>
      <c r="I66" s="157" t="s">
        <v>47</v>
      </c>
      <c r="J66" s="158"/>
      <c r="K66" s="6"/>
      <c r="L66" s="6"/>
    </row>
    <row r="67" spans="1:12" ht="39" customHeight="1" thickTop="1" x14ac:dyDescent="0.3">
      <c r="C67" s="230"/>
      <c r="D67" s="159" t="s">
        <v>90</v>
      </c>
      <c r="E67" s="160">
        <f>SUM(E50,E54,E55,E56)</f>
        <v>-0.56466666666666665</v>
      </c>
      <c r="F67" s="160">
        <f>SUM(F50,F54,F55,F56)</f>
        <v>0.622</v>
      </c>
      <c r="G67" s="161"/>
      <c r="H67" s="335" t="s">
        <v>29</v>
      </c>
      <c r="I67" s="336"/>
      <c r="J67" s="162"/>
      <c r="K67" s="6"/>
      <c r="L67" s="6"/>
    </row>
    <row r="68" spans="1:12" ht="41.25" customHeight="1" x14ac:dyDescent="0.3">
      <c r="C68" s="231"/>
      <c r="D68" s="163" t="s">
        <v>91</v>
      </c>
      <c r="E68" s="164">
        <f>SUM(E50,E54,E55,E56,E57)</f>
        <v>-6.466666666666665E-2</v>
      </c>
      <c r="F68" s="164">
        <f>SUM(F50,F54,F56,F55,F57)</f>
        <v>0.93395408035937111</v>
      </c>
      <c r="G68" s="165"/>
      <c r="H68" s="337"/>
      <c r="I68" s="338"/>
      <c r="J68" s="162"/>
      <c r="K68" s="6"/>
      <c r="L68" s="6"/>
    </row>
    <row r="69" spans="1:12" ht="39" customHeight="1" x14ac:dyDescent="0.3">
      <c r="C69" s="231"/>
      <c r="D69" s="163" t="s">
        <v>99</v>
      </c>
      <c r="E69" s="164">
        <f>SUM(E50:E51)+SUM(E54:E57)</f>
        <v>0.28200000000000003</v>
      </c>
      <c r="F69" s="164">
        <f>SUM(F50:F51)+SUM(F54:F57)</f>
        <v>1.1719540803593711</v>
      </c>
      <c r="G69" s="165"/>
      <c r="H69" s="337"/>
      <c r="I69" s="338"/>
      <c r="J69" s="162"/>
      <c r="K69" s="6"/>
      <c r="L69" s="6"/>
    </row>
    <row r="70" spans="1:12" ht="35.25" customHeight="1" x14ac:dyDescent="0.3">
      <c r="C70" s="231"/>
      <c r="D70" s="163" t="s">
        <v>105</v>
      </c>
      <c r="E70" s="164">
        <f>E69+E53</f>
        <v>2.5859999999999999</v>
      </c>
      <c r="F70" s="164">
        <f>SUM(F50:F51)+SUM(F53:F57)</f>
        <v>2.8330471674569502</v>
      </c>
      <c r="G70" s="165"/>
      <c r="H70" s="337"/>
      <c r="I70" s="338"/>
      <c r="J70" s="162"/>
      <c r="K70" s="6"/>
      <c r="L70" s="6"/>
    </row>
    <row r="71" spans="1:12" ht="28.5" customHeight="1" x14ac:dyDescent="0.3">
      <c r="C71" s="231"/>
      <c r="D71" s="163" t="s">
        <v>41</v>
      </c>
      <c r="E71" s="339" t="s">
        <v>29</v>
      </c>
      <c r="F71" s="339"/>
      <c r="G71" s="166"/>
      <c r="H71" s="164">
        <f>SUM($I$50,$I$54,$I$58,L59)</f>
        <v>1.3655233622410778</v>
      </c>
      <c r="I71" s="232">
        <f>SUM($K$50,$K$54,$K$58,$L$59)</f>
        <v>1.7901066955744116</v>
      </c>
      <c r="J71" s="167"/>
      <c r="K71" s="6"/>
      <c r="L71" s="6"/>
    </row>
    <row r="72" spans="1:12" ht="18.75" customHeight="1" x14ac:dyDescent="0.3">
      <c r="C72" s="233"/>
      <c r="D72" s="163" t="s">
        <v>100</v>
      </c>
      <c r="E72" s="339"/>
      <c r="F72" s="339"/>
      <c r="G72" s="166"/>
      <c r="H72" s="164">
        <f>SUM($L$50:$L$54,$L$58,$L$59)</f>
        <v>2.7221900289077445</v>
      </c>
      <c r="I72" s="232">
        <f>SUM($K$50,$K$51,$K$54,$K$58,$L$59)</f>
        <v>2.0281066955744111</v>
      </c>
      <c r="J72" s="167"/>
      <c r="K72" s="6"/>
      <c r="L72" s="6"/>
    </row>
    <row r="73" spans="1:12" ht="29.25" customHeight="1" thickBot="1" x14ac:dyDescent="0.35">
      <c r="C73" s="234"/>
      <c r="D73" s="235" t="s">
        <v>104</v>
      </c>
      <c r="E73" s="340"/>
      <c r="F73" s="340"/>
      <c r="G73" s="236"/>
      <c r="H73" s="237">
        <f>H72+I53</f>
        <v>6.5621900289077448</v>
      </c>
      <c r="I73" s="238">
        <f>SUM($K$50,$K$51,$K53,$K$54,$K$58,$L$59)</f>
        <v>3.6891997826719902</v>
      </c>
      <c r="J73" s="167"/>
      <c r="K73" s="6"/>
      <c r="L73" s="6"/>
    </row>
    <row r="74" spans="1:12" ht="12.75" customHeight="1" x14ac:dyDescent="0.25">
      <c r="C74" s="168"/>
      <c r="D74" s="168"/>
      <c r="E74" s="121"/>
      <c r="F74" s="121"/>
      <c r="G74" s="121"/>
      <c r="H74" s="131"/>
      <c r="I74" s="131"/>
      <c r="J74" s="131"/>
      <c r="K74" s="56"/>
      <c r="L74" s="56"/>
    </row>
    <row r="75" spans="1:12" x14ac:dyDescent="0.25">
      <c r="A75" s="56"/>
      <c r="B75" s="56"/>
      <c r="F75" s="169"/>
      <c r="G75" s="56"/>
      <c r="H75" s="131"/>
      <c r="I75" s="131"/>
      <c r="J75" s="131"/>
      <c r="K75" s="56"/>
      <c r="L75" s="56"/>
    </row>
    <row r="76" spans="1:12" x14ac:dyDescent="0.25">
      <c r="F76" s="6"/>
      <c r="G76" s="6"/>
      <c r="H76" s="6"/>
    </row>
  </sheetData>
  <mergeCells count="38">
    <mergeCell ref="H67:I70"/>
    <mergeCell ref="E71:F73"/>
    <mergeCell ref="C1:N1"/>
    <mergeCell ref="C2:N2"/>
    <mergeCell ref="C4:N4"/>
    <mergeCell ref="E6:F6"/>
    <mergeCell ref="E7:F7"/>
    <mergeCell ref="H6:I6"/>
    <mergeCell ref="H7:I7"/>
    <mergeCell ref="K7:L7"/>
    <mergeCell ref="K6:L6"/>
    <mergeCell ref="E5:F5"/>
    <mergeCell ref="H5:I5"/>
    <mergeCell ref="K5:L5"/>
    <mergeCell ref="M5:N5"/>
    <mergeCell ref="M6:N6"/>
    <mergeCell ref="B39:B44"/>
    <mergeCell ref="B36:B38"/>
    <mergeCell ref="H36:I38"/>
    <mergeCell ref="K20:L20"/>
    <mergeCell ref="B22:B35"/>
    <mergeCell ref="E39:F44"/>
    <mergeCell ref="H20:I20"/>
    <mergeCell ref="E20:F20"/>
    <mergeCell ref="C6:D6"/>
    <mergeCell ref="M7:N7"/>
    <mergeCell ref="K12:N13"/>
    <mergeCell ref="C66:D66"/>
    <mergeCell ref="E8:N8"/>
    <mergeCell ref="C12:D12"/>
    <mergeCell ref="C13:D13"/>
    <mergeCell ref="N20:O20"/>
    <mergeCell ref="E12:F12"/>
    <mergeCell ref="E13:F13"/>
    <mergeCell ref="H12:I12"/>
    <mergeCell ref="H13:I13"/>
    <mergeCell ref="E11:F11"/>
    <mergeCell ref="H11:I11"/>
  </mergeCells>
  <conditionalFormatting sqref="E50:E57">
    <cfRule type="cellIs" dxfId="3" priority="6" operator="equal">
      <formula>-1</formula>
    </cfRule>
  </conditionalFormatting>
  <conditionalFormatting sqref="I52">
    <cfRule type="cellIs" dxfId="2" priority="4" operator="equal">
      <formula>-1</formula>
    </cfRule>
  </conditionalFormatting>
  <conditionalFormatting sqref="I53">
    <cfRule type="cellIs" dxfId="1" priority="3" operator="equal">
      <formula>-1</formula>
    </cfRule>
  </conditionalFormatting>
  <conditionalFormatting sqref="G13:I13">
    <cfRule type="expression" dxfId="0" priority="2">
      <formula>0</formula>
    </cfRule>
  </conditionalFormatting>
  <dataValidations xWindow="735" yWindow="538" count="10">
    <dataValidation type="custom" errorStyle="warning" showInputMessage="1" showErrorMessage="1" errorTitle="Miles Per Year -- REQUIRED" error="A numerical value greater than or equal to 0 is required as input" promptTitle="Miles Per Year (Required Input)" prompt="Please enter a numerical value" sqref="E24:I24 J22:J28 F27:F28 I27:I28" xr:uid="{00000000-0002-0000-0100-000000000000}">
      <formula1>AND(ISNUMBER(E22),E22&gt;=0,NOT(ISBLANK(E22)))</formula1>
    </dataValidation>
    <dataValidation allowBlank="1" showInputMessage="1" showErrorMessage="1" promptTitle="Fuel Costs (Required Input)" prompt="Enter a numerical value or use the fuel efficiency and diesel price to calculate the costs." sqref="E30:F30 H30:J30" xr:uid="{00000000-0002-0000-0100-000001000000}"/>
    <dataValidation allowBlank="1" showInputMessage="1" showErrorMessage="1" promptTitle="Per Case Fee (Required Input)" prompt="Enter the per case fee quoted. Please enter a numerical value or leave blank." sqref="L33" xr:uid="{00000000-0002-0000-0100-000002000000}"/>
    <dataValidation type="list" allowBlank="1" showInputMessage="1" showErrorMessage="1" sqref="E17" xr:uid="{00000000-0002-0000-0100-000003000000}">
      <formula1>TruckCostInputData</formula1>
    </dataValidation>
    <dataValidation type="custom" errorStyle="warning" showInputMessage="1" showErrorMessage="1" errorTitle="Miles Per Year -- REQUIRED" error="A numerical value greater than or equal to 0 is required as input" promptTitle="Number of Pallets" prompt="Number of Pallets Shipped per Year" sqref="E23:I23" xr:uid="{00000000-0002-0000-0100-000004000000}">
      <formula1>AND(ISNUMBER(E23),E23&gt;=0,NOT(ISBLANK(E23)))</formula1>
    </dataValidation>
    <dataValidation type="custom" errorStyle="warning" showInputMessage="1" showErrorMessage="1" errorTitle="Miles Per Year -- REQUIRED" error="A numerical value greater than or equal to 0 is required as input" promptTitle="Cases" prompt="Number of Cases Shipped per Year" sqref="E22:I22" xr:uid="{00000000-0002-0000-0100-000005000000}">
      <formula1>AND(ISNUMBER(E22),E22&gt;=0,NOT(ISBLANK(E22)))</formula1>
    </dataValidation>
    <dataValidation type="custom" errorStyle="warning" showInputMessage="1" showErrorMessage="1" errorTitle="Miles Per Year -- REQUIRED" error="A numerical value greater than or equal to 0 is required as input" promptTitle="Labor" prompt="Driver Wage (hrly)" sqref="E25:I25" xr:uid="{00000000-0002-0000-0100-000006000000}">
      <formula1>AND(ISNUMBER(E25),E25&gt;=0,NOT(ISBLANK(E25)))</formula1>
    </dataValidation>
    <dataValidation type="custom" errorStyle="warning" showInputMessage="1" showErrorMessage="1" errorTitle="Miles Per Year -- REQUIRED" error="A numerical value greater than or equal to 0 is required as input" promptTitle="Labor" prompt="Number of Driver Hours per Day (avg)" sqref="E26:I26" xr:uid="{00000000-0002-0000-0100-000007000000}">
      <formula1>AND(ISNUMBER(E26),E26&gt;=0,NOT(ISBLANK(E26)))</formula1>
    </dataValidation>
    <dataValidation type="custom" errorStyle="warning" showInputMessage="1" showErrorMessage="1" errorTitle="Miles Per Year -- REQUIRED" error="A numerical value greater than or equal to 0 is required as input" promptTitle="Labor" prompt="Number of Days Driving per Week" sqref="E27 H27" xr:uid="{00000000-0002-0000-0100-000008000000}">
      <formula1>AND(ISNUMBER(E27),E27&gt;=0,NOT(ISBLANK(E27)))</formula1>
    </dataValidation>
    <dataValidation type="custom" errorStyle="warning" showInputMessage="1" showErrorMessage="1" errorTitle="Miles Per Year -- REQUIRED" error="A numerical value greater than or equal to 0 is required as input" promptTitle="Labor" prompt="Number of Driving Weeks per Year" sqref="E28 H28" xr:uid="{00000000-0002-0000-0100-000009000000}">
      <formula1>AND(ISNUMBER(E28),E28&gt;=0,NOT(ISBLANK(E28)))</formula1>
    </dataValidation>
  </dataValidations>
  <pageMargins left="0.7" right="0.7" top="0.75" bottom="0.75" header="0.3" footer="0.3"/>
  <pageSetup scale="33" orientation="landscape" r:id="rId1"/>
  <ignoredErrors>
    <ignoredError sqref="N25 E6 H6" unlockedFormula="1"/>
  </ignoredErrors>
  <extLst>
    <ext xmlns:x14="http://schemas.microsoft.com/office/spreadsheetml/2009/9/main" uri="{CCE6A557-97BC-4b89-ADB6-D9C93CAAB3DF}">
      <x14:dataValidations xmlns:xm="http://schemas.microsoft.com/office/excel/2006/main" xWindow="735" yWindow="538" count="3">
        <x14:dataValidation type="list" allowBlank="1" showInputMessage="1" showErrorMessage="1" promptTitle="Select Case or Pallet" prompt="Select Case or Pallet" xr:uid="{00000000-0002-0000-0100-00000A000000}">
          <x14:formula1>
            <xm:f>DefineNames!$E$4:$E$5</xm:f>
          </x14:formula1>
          <xm:sqref>E18:E19</xm:sqref>
        </x14:dataValidation>
        <x14:dataValidation type="list" allowBlank="1" showInputMessage="1" showErrorMessage="1" prompt="Use Cost or Mark-Up" xr:uid="{00000000-0002-0000-0100-00000B000000}">
          <x14:formula1>
            <xm:f>DefineNames!$H$3:$H$4</xm:f>
          </x14:formula1>
          <xm:sqref>L22</xm:sqref>
        </x14:dataValidation>
        <x14:dataValidation type="list" allowBlank="1" showInputMessage="1" showErrorMessage="1" prompt="Use Margin or Mark-Up" xr:uid="{00000000-0002-0000-0100-00000C000000}">
          <x14:formula1>
            <xm:f>DefineNames!$J$3:$J$4</xm:f>
          </x14:formula1>
          <xm:sqref>O22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63C3-2C7B-4404-87F7-AE0D6ED2882A}">
  <sheetPr>
    <pageSetUpPr fitToPage="1"/>
  </sheetPr>
  <dimension ref="A1:G24"/>
  <sheetViews>
    <sheetView workbookViewId="0">
      <selection sqref="A1:XFD5"/>
    </sheetView>
  </sheetViews>
  <sheetFormatPr defaultRowHeight="15" x14ac:dyDescent="0.25"/>
  <cols>
    <col min="1" max="1" width="4.85546875" customWidth="1"/>
    <col min="2" max="2" width="5.5703125" customWidth="1"/>
    <col min="3" max="3" width="60.28515625" customWidth="1"/>
    <col min="4" max="4" width="25" customWidth="1"/>
    <col min="5" max="5" width="55.7109375" customWidth="1"/>
    <col min="6" max="6" width="72.28515625" customWidth="1"/>
    <col min="7" max="7" width="6.7109375" customWidth="1"/>
    <col min="8" max="9" width="72.28515625" customWidth="1"/>
  </cols>
  <sheetData>
    <row r="1" spans="1:7" ht="23.25" x14ac:dyDescent="0.25">
      <c r="A1" s="282" t="s">
        <v>231</v>
      </c>
      <c r="B1" s="282"/>
      <c r="C1" s="282"/>
      <c r="D1" s="282"/>
      <c r="E1" s="282"/>
    </row>
    <row r="2" spans="1:7" ht="21.75" thickBot="1" x14ac:dyDescent="0.3">
      <c r="A2" s="68" t="s">
        <v>83</v>
      </c>
      <c r="C2" s="63"/>
      <c r="D2" s="63"/>
      <c r="E2" s="63"/>
      <c r="F2" s="63"/>
      <c r="G2" s="63"/>
    </row>
    <row r="3" spans="1:7" ht="15" customHeight="1" thickBot="1" x14ac:dyDescent="0.3">
      <c r="A3" s="64"/>
      <c r="B3" s="70" t="s">
        <v>68</v>
      </c>
      <c r="D3" s="21" t="s">
        <v>133</v>
      </c>
      <c r="E3" s="25"/>
      <c r="F3" s="25"/>
      <c r="G3" s="63"/>
    </row>
    <row r="4" spans="1:7" ht="14.45" customHeight="1" x14ac:dyDescent="0.25">
      <c r="A4" s="2"/>
      <c r="B4" s="70" t="s">
        <v>67</v>
      </c>
      <c r="D4" s="21" t="s">
        <v>87</v>
      </c>
    </row>
    <row r="5" spans="1:7" ht="18.600000000000001" customHeight="1" x14ac:dyDescent="0.25">
      <c r="A5" s="58">
        <v>1</v>
      </c>
      <c r="B5" s="70" t="s">
        <v>132</v>
      </c>
      <c r="D5" s="21" t="s">
        <v>216</v>
      </c>
    </row>
    <row r="6" spans="1:7" ht="22.5" customHeight="1" x14ac:dyDescent="0.25">
      <c r="A6" s="30"/>
      <c r="B6" s="70" t="s">
        <v>130</v>
      </c>
      <c r="D6" s="21" t="s">
        <v>131</v>
      </c>
    </row>
    <row r="7" spans="1:7" ht="23.25" customHeight="1" x14ac:dyDescent="0.25">
      <c r="A7" s="24"/>
      <c r="B7" s="70" t="s">
        <v>89</v>
      </c>
      <c r="D7" s="21" t="s">
        <v>88</v>
      </c>
    </row>
    <row r="8" spans="1:7" ht="23.25" x14ac:dyDescent="0.25">
      <c r="A8" s="258"/>
      <c r="B8" s="258"/>
      <c r="C8" s="258"/>
      <c r="D8" s="258"/>
      <c r="E8" s="258"/>
    </row>
    <row r="9" spans="1:7" ht="21" x14ac:dyDescent="0.25">
      <c r="A9" s="68" t="s">
        <v>145</v>
      </c>
    </row>
    <row r="10" spans="1:7" x14ac:dyDescent="0.25">
      <c r="A10" s="66" t="s">
        <v>146</v>
      </c>
    </row>
    <row r="11" spans="1:7" x14ac:dyDescent="0.25">
      <c r="A11" s="58">
        <v>42</v>
      </c>
      <c r="B11" s="59" t="s">
        <v>114</v>
      </c>
    </row>
    <row r="12" spans="1:7" x14ac:dyDescent="0.25">
      <c r="A12" s="58">
        <v>43</v>
      </c>
      <c r="B12" s="59" t="s">
        <v>113</v>
      </c>
    </row>
    <row r="13" spans="1:7" x14ac:dyDescent="0.25">
      <c r="A13" s="58">
        <v>44</v>
      </c>
      <c r="B13" s="59" t="s">
        <v>112</v>
      </c>
    </row>
    <row r="14" spans="1:7" x14ac:dyDescent="0.25">
      <c r="A14" s="66"/>
    </row>
    <row r="15" spans="1:7" ht="23.25" x14ac:dyDescent="0.25">
      <c r="A15" s="22" t="s">
        <v>84</v>
      </c>
    </row>
    <row r="16" spans="1:7" x14ac:dyDescent="0.25">
      <c r="A16" s="59" t="s">
        <v>129</v>
      </c>
    </row>
    <row r="17" spans="1:2" x14ac:dyDescent="0.25">
      <c r="A17" s="23" t="s">
        <v>128</v>
      </c>
    </row>
    <row r="18" spans="1:2" x14ac:dyDescent="0.25">
      <c r="A18" s="62" t="s">
        <v>127</v>
      </c>
    </row>
    <row r="20" spans="1:2" ht="23.25" x14ac:dyDescent="0.25">
      <c r="A20" s="22" t="s">
        <v>135</v>
      </c>
    </row>
    <row r="21" spans="1:2" s="276" customFormat="1" ht="17.45" customHeight="1" x14ac:dyDescent="0.25">
      <c r="A21" s="21" t="s">
        <v>228</v>
      </c>
      <c r="B21" s="21"/>
    </row>
    <row r="22" spans="1:2" x14ac:dyDescent="0.25">
      <c r="A22" t="s">
        <v>137</v>
      </c>
    </row>
    <row r="23" spans="1:2" x14ac:dyDescent="0.25">
      <c r="A23" t="s">
        <v>138</v>
      </c>
    </row>
    <row r="24" spans="1:2" x14ac:dyDescent="0.25">
      <c r="A24" t="s">
        <v>139</v>
      </c>
    </row>
  </sheetData>
  <mergeCells count="1">
    <mergeCell ref="A1:E1"/>
  </mergeCells>
  <hyperlinks>
    <hyperlink ref="A17" r:id="rId1" display="For more information or technical help with the model, contact:" xr:uid="{CAF6B6B4-6324-447F-B58E-36B05488FA9A}"/>
    <hyperlink ref="A18" r:id="rId2" xr:uid="{4B15371A-FBEC-4F1F-943B-CA8C28AD678A}"/>
  </hyperlinks>
  <pageMargins left="0.7" right="0.7" top="0.75" bottom="0.75" header="0.3" footer="0.3"/>
  <pageSetup scale="55"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V64"/>
  <sheetViews>
    <sheetView showGridLines="0" zoomScale="85" zoomScaleNormal="85" workbookViewId="0">
      <selection activeCell="B4" sqref="B4:Q4"/>
    </sheetView>
  </sheetViews>
  <sheetFormatPr defaultColWidth="9.140625" defaultRowHeight="15" x14ac:dyDescent="0.25"/>
  <cols>
    <col min="1" max="1" width="9.7109375" style="5" customWidth="1"/>
    <col min="2" max="2" width="5.85546875" style="5" customWidth="1"/>
    <col min="3" max="3" width="6.5703125" style="5" customWidth="1"/>
    <col min="4" max="6" width="12" style="5" bestFit="1" customWidth="1"/>
    <col min="7" max="8" width="12.5703125" style="5" bestFit="1" customWidth="1"/>
    <col min="9" max="9" width="5.5703125" style="5" customWidth="1"/>
    <col min="10" max="10" width="3.85546875" style="5" customWidth="1"/>
    <col min="11" max="11" width="8.42578125" style="5" customWidth="1"/>
    <col min="12" max="16" width="10.28515625" style="5" customWidth="1"/>
    <col min="17" max="17" width="4" style="5" customWidth="1"/>
    <col min="18" max="18" width="9.42578125" style="5" bestFit="1" customWidth="1"/>
    <col min="19" max="19" width="9.140625" style="5"/>
    <col min="20" max="20" width="16.7109375" style="5" bestFit="1" customWidth="1"/>
    <col min="21" max="22" width="20.7109375" style="5" customWidth="1"/>
    <col min="23" max="16384" width="9.140625" style="5"/>
  </cols>
  <sheetData>
    <row r="1" spans="2:22" ht="33.6" customHeight="1" x14ac:dyDescent="0.25">
      <c r="B1" s="341" t="s">
        <v>241</v>
      </c>
      <c r="C1" s="341"/>
      <c r="D1" s="341"/>
      <c r="E1" s="341"/>
      <c r="F1" s="341"/>
      <c r="G1" s="341"/>
      <c r="H1" s="341"/>
      <c r="I1" s="341"/>
      <c r="J1" s="341"/>
      <c r="K1" s="341"/>
      <c r="L1" s="341"/>
      <c r="M1" s="341"/>
      <c r="N1" s="341"/>
      <c r="O1" s="341"/>
      <c r="P1" s="341"/>
      <c r="Q1" s="341"/>
    </row>
    <row r="2" spans="2:22" ht="33.6" customHeight="1" x14ac:dyDescent="0.25">
      <c r="B2" s="342" t="s">
        <v>49</v>
      </c>
      <c r="C2" s="342"/>
      <c r="D2" s="342"/>
      <c r="E2" s="342"/>
      <c r="F2" s="342"/>
      <c r="G2" s="342"/>
      <c r="H2" s="342"/>
      <c r="I2" s="342"/>
      <c r="J2" s="342"/>
      <c r="K2" s="342"/>
      <c r="L2" s="342"/>
      <c r="M2" s="342"/>
      <c r="N2" s="342"/>
      <c r="O2" s="342"/>
      <c r="P2" s="342"/>
      <c r="Q2" s="342"/>
    </row>
    <row r="3" spans="2:22" x14ac:dyDescent="0.25">
      <c r="B3" s="351" t="s">
        <v>142</v>
      </c>
      <c r="C3" s="351"/>
    </row>
    <row r="4" spans="2:22" ht="81.599999999999994" customHeight="1" x14ac:dyDescent="0.25">
      <c r="B4" s="352" t="s">
        <v>170</v>
      </c>
      <c r="C4" s="352"/>
      <c r="D4" s="352"/>
      <c r="E4" s="352"/>
      <c r="F4" s="352"/>
      <c r="G4" s="352"/>
      <c r="H4" s="352"/>
      <c r="I4" s="352"/>
      <c r="J4" s="352"/>
      <c r="K4" s="352"/>
      <c r="L4" s="352"/>
      <c r="M4" s="352"/>
      <c r="N4" s="352"/>
      <c r="O4" s="352"/>
      <c r="P4" s="352"/>
      <c r="Q4" s="352"/>
    </row>
    <row r="6" spans="2:22" x14ac:dyDescent="0.25">
      <c r="B6" s="170"/>
      <c r="C6" s="171" t="str">
        <f>'Annual Distribution Costs'!E17</f>
        <v>User Defined</v>
      </c>
      <c r="D6" s="172" t="s">
        <v>143</v>
      </c>
      <c r="U6" s="78"/>
      <c r="V6" s="78"/>
    </row>
    <row r="7" spans="2:22" x14ac:dyDescent="0.25">
      <c r="C7" s="173"/>
      <c r="D7" s="174"/>
      <c r="E7" s="175"/>
      <c r="F7" s="151"/>
      <c r="U7" s="78"/>
      <c r="V7" s="78"/>
    </row>
    <row r="8" spans="2:22" x14ac:dyDescent="0.25">
      <c r="C8" s="173"/>
      <c r="D8" s="174"/>
      <c r="E8" s="175"/>
      <c r="F8" s="151"/>
      <c r="U8" s="78"/>
      <c r="V8" s="78"/>
    </row>
    <row r="9" spans="2:22" ht="23.25" x14ac:dyDescent="0.25">
      <c r="C9" s="176" t="s">
        <v>46</v>
      </c>
      <c r="D9" s="177"/>
      <c r="E9" s="177"/>
      <c r="F9" s="177"/>
      <c r="G9" s="177"/>
      <c r="H9" s="177"/>
      <c r="I9" s="177"/>
      <c r="J9" s="177"/>
      <c r="K9" s="177"/>
      <c r="L9" s="177"/>
      <c r="M9" s="177"/>
      <c r="N9" s="177"/>
      <c r="O9" s="177"/>
      <c r="P9" s="177"/>
      <c r="Q9" s="177"/>
      <c r="U9" s="78"/>
      <c r="V9" s="78"/>
    </row>
    <row r="10" spans="2:22" ht="15.75" thickBot="1" x14ac:dyDescent="0.3">
      <c r="E10" s="178" t="s">
        <v>2</v>
      </c>
      <c r="F10" s="178" t="s">
        <v>4</v>
      </c>
      <c r="U10" s="78"/>
      <c r="V10" s="78"/>
    </row>
    <row r="11" spans="2:22" ht="15.75" thickBot="1" x14ac:dyDescent="0.3">
      <c r="D11" s="179" t="s">
        <v>9</v>
      </c>
      <c r="E11" s="355">
        <v>110</v>
      </c>
      <c r="F11" s="356"/>
      <c r="G11" s="101">
        <v>42</v>
      </c>
      <c r="K11" s="180" t="s">
        <v>157</v>
      </c>
      <c r="U11" s="78"/>
      <c r="V11" s="78"/>
    </row>
    <row r="12" spans="2:22" x14ac:dyDescent="0.25">
      <c r="D12" s="181" t="s">
        <v>5</v>
      </c>
      <c r="E12" s="182">
        <f>IF(AND($C$6="User Defined",'Annual Distribution Costs'!$E$34&lt;&gt;0,$E$11&lt;=100),$E$11/'Annual Distribution Costs'!$E$34*'Annual Distribution Costs'!$E$25,IF(AND($C$6="User Defined",'Annual Distribution Costs'!$F$34&lt;&gt;0,$E$11&lt;=100),$E$11/'Annual Distribution Costs'!$F$34*'Annual Distribution Costs'!$E$25,IF(AND($C$6="Average",'Annual Distribution Costs'!$F$34&lt;&gt;0,$E$11&lt;=100),$E$11/'Annual Distribution Costs'!$F$34*'Annual Distribution Costs'!$E$25,IF(AND($C$6="User Defined",'Annual Distribution Costs'!$E$34&lt;&gt;0,$E$11&gt;100),$E$11/'Annual Distribution Costs'!$E$35*'Annual Distribution Costs'!$E$25,IF(AND($C$6="User Defined",'Annual Distribution Costs'!$F$35&lt;&gt;0,$E$11&gt;100),$E$11/'Annual Distribution Costs'!$F$35*'Annual Distribution Costs'!$E$25,IF(AND($C$6="Average",'Annual Distribution Costs'!$F$35&lt;&gt;0,$E$11&gt;100),$E$11/'Annual Distribution Costs'!$F$35*'Annual Distribution Costs'!$E$25,"Check Defined"))))))</f>
        <v>52.800000000000004</v>
      </c>
      <c r="F12" s="182">
        <f>IF(AND($C$6="User Defined",'Annual Distribution Costs'!$H$34&lt;&gt;0,$E$11&lt;=100),$E$11/'Annual Distribution Costs'!$H$34*'Annual Distribution Costs'!$E$25,IF(AND($C$6="User Defined",'Annual Distribution Costs'!$I$34&lt;&gt;0,$E$11&lt;=100),$E$11/'Annual Distribution Costs'!$I$34*'Annual Distribution Costs'!$E$25,IF(AND($C$6="Average",'Annual Distribution Costs'!$I$34&lt;&gt;0,$E$11&lt;=100),$E$11/'Annual Distribution Costs'!$I$34*'Annual Distribution Costs'!$E$25,IF(AND($C$6="User Defined",'Annual Distribution Costs'!$H$35&lt;&gt;0,$E$11&gt;100),$E$11/'Annual Distribution Costs'!$H$35*'Annual Distribution Costs'!$E$25,IF(AND($C$6="User Defined",'Annual Distribution Costs'!$I$35&lt;&gt;0,$E$11&gt;100),$E$11/'Annual Distribution Costs'!$I$35*'Annual Distribution Costs'!$E$25,IF(AND($C$6="Average",'Annual Distribution Costs'!$I$35&lt;&gt;0,$E$11&gt;100),$E$11/'Annual Distribution Costs'!$I$35*'Annual Distribution Costs'!$E$25,"Check Defined"))))))</f>
        <v>52.800000000000004</v>
      </c>
      <c r="K12" s="353" t="s">
        <v>158</v>
      </c>
      <c r="L12" s="353"/>
      <c r="M12" s="353"/>
      <c r="N12" s="353"/>
      <c r="O12" s="353"/>
      <c r="P12" s="353"/>
      <c r="Q12" s="353"/>
      <c r="U12" s="78"/>
      <c r="V12" s="78"/>
    </row>
    <row r="13" spans="2:22" x14ac:dyDescent="0.25">
      <c r="D13" s="181" t="s">
        <v>6</v>
      </c>
      <c r="E13" s="183">
        <f>IF($C$6="User Defined",'Annual Distribution Costs'!$E$69*$E$11,'Annual Distribution Costs'!$F$69*$E$11)</f>
        <v>31.020000000000003</v>
      </c>
      <c r="F13" s="183">
        <f>IF($C$6="User Defined",'Annual Distribution Costs'!$H$72*$E$11,'Annual Distribution Costs'!$I$72*$E$11)</f>
        <v>299.44090317985189</v>
      </c>
      <c r="K13" s="353"/>
      <c r="L13" s="353"/>
      <c r="M13" s="353"/>
      <c r="N13" s="353"/>
      <c r="O13" s="353"/>
      <c r="P13" s="353"/>
      <c r="Q13" s="353"/>
      <c r="U13" s="78"/>
      <c r="V13" s="78"/>
    </row>
    <row r="14" spans="2:22" x14ac:dyDescent="0.25">
      <c r="C14" s="184"/>
      <c r="D14" s="181" t="s">
        <v>7</v>
      </c>
      <c r="E14" s="185">
        <f>E13+E12</f>
        <v>83.820000000000007</v>
      </c>
      <c r="F14" s="185">
        <f>F13+F12</f>
        <v>352.2409031798519</v>
      </c>
      <c r="K14" s="353"/>
      <c r="L14" s="353"/>
      <c r="M14" s="353"/>
      <c r="N14" s="353"/>
      <c r="O14" s="353"/>
      <c r="P14" s="353"/>
      <c r="Q14" s="353"/>
      <c r="U14" s="78"/>
      <c r="V14" s="78"/>
    </row>
    <row r="15" spans="2:22" x14ac:dyDescent="0.25">
      <c r="C15" s="184"/>
      <c r="E15" s="78"/>
      <c r="F15" s="78"/>
      <c r="K15" s="180" t="s">
        <v>159</v>
      </c>
      <c r="U15" s="78"/>
      <c r="V15" s="78"/>
    </row>
    <row r="16" spans="2:22" x14ac:dyDescent="0.25">
      <c r="C16" s="184"/>
      <c r="E16" s="348" t="s">
        <v>10</v>
      </c>
      <c r="F16" s="348"/>
      <c r="K16" s="354" t="s">
        <v>160</v>
      </c>
      <c r="L16" s="354"/>
      <c r="M16" s="354"/>
      <c r="N16" s="354"/>
      <c r="O16" s="354"/>
      <c r="P16" s="354"/>
      <c r="U16" s="78"/>
      <c r="V16" s="78"/>
    </row>
    <row r="17" spans="2:22" x14ac:dyDescent="0.25">
      <c r="C17" s="184"/>
      <c r="D17" s="186" t="s">
        <v>11</v>
      </c>
      <c r="E17" s="219">
        <v>20</v>
      </c>
      <c r="F17" s="219">
        <v>20</v>
      </c>
      <c r="G17" s="101">
        <v>43</v>
      </c>
      <c r="K17" s="354"/>
      <c r="L17" s="354"/>
      <c r="M17" s="354"/>
      <c r="N17" s="354"/>
      <c r="O17" s="354"/>
      <c r="P17" s="354"/>
      <c r="U17" s="78"/>
      <c r="V17" s="78"/>
    </row>
    <row r="18" spans="2:22" x14ac:dyDescent="0.25">
      <c r="C18" s="184"/>
      <c r="D18" s="187" t="s">
        <v>13</v>
      </c>
      <c r="E18" s="188">
        <f>E14/E17</f>
        <v>4.1910000000000007</v>
      </c>
      <c r="F18" s="188">
        <f>F14/F17</f>
        <v>17.612045158992593</v>
      </c>
      <c r="U18" s="78"/>
      <c r="V18" s="78"/>
    </row>
    <row r="19" spans="2:22" x14ac:dyDescent="0.25">
      <c r="C19" s="184"/>
      <c r="D19" s="186" t="s">
        <v>12</v>
      </c>
      <c r="E19" s="219">
        <v>4</v>
      </c>
      <c r="F19" s="220">
        <v>4</v>
      </c>
      <c r="G19" s="101">
        <v>44</v>
      </c>
      <c r="U19" s="78"/>
      <c r="V19" s="78"/>
    </row>
    <row r="20" spans="2:22" x14ac:dyDescent="0.25">
      <c r="C20" s="184"/>
      <c r="D20" s="189" t="s">
        <v>14</v>
      </c>
      <c r="E20" s="190">
        <f>E14/E19</f>
        <v>20.955000000000002</v>
      </c>
      <c r="F20" s="190">
        <f>F14/F19</f>
        <v>88.060225794962975</v>
      </c>
      <c r="U20" s="78"/>
      <c r="V20" s="78"/>
    </row>
    <row r="21" spans="2:22" x14ac:dyDescent="0.25">
      <c r="C21" s="173"/>
      <c r="D21" s="174"/>
      <c r="E21" s="175"/>
      <c r="F21" s="151"/>
      <c r="U21" s="78"/>
      <c r="V21" s="78"/>
    </row>
    <row r="22" spans="2:22" x14ac:dyDescent="0.25">
      <c r="C22" s="173"/>
      <c r="D22" s="174"/>
      <c r="E22" s="172"/>
      <c r="U22" s="78"/>
      <c r="V22" s="78"/>
    </row>
    <row r="23" spans="2:22" ht="23.25" x14ac:dyDescent="0.25">
      <c r="C23" s="349" t="s">
        <v>154</v>
      </c>
      <c r="D23" s="349"/>
      <c r="E23" s="349"/>
      <c r="F23" s="349"/>
      <c r="G23" s="349"/>
      <c r="H23" s="349"/>
      <c r="I23" s="349"/>
      <c r="J23" s="349"/>
      <c r="K23" s="349"/>
      <c r="L23" s="349"/>
      <c r="M23" s="349"/>
      <c r="N23" s="349"/>
      <c r="O23" s="349"/>
      <c r="P23" s="349"/>
      <c r="Q23" s="349"/>
    </row>
    <row r="24" spans="2:22" ht="21" x14ac:dyDescent="0.35">
      <c r="C24" s="191" t="s">
        <v>2</v>
      </c>
      <c r="D24" s="192"/>
      <c r="E24" s="192"/>
      <c r="F24" s="192"/>
      <c r="G24" s="192"/>
      <c r="H24" s="192"/>
      <c r="I24" s="193"/>
      <c r="J24" s="193"/>
      <c r="K24" s="193"/>
      <c r="L24" s="193"/>
      <c r="M24" s="193"/>
      <c r="N24" s="193"/>
      <c r="O24" s="193"/>
      <c r="P24" s="193"/>
      <c r="Q24" s="193"/>
    </row>
    <row r="25" spans="2:22" ht="55.7" customHeight="1" x14ac:dyDescent="0.25">
      <c r="C25" s="350" t="s">
        <v>166</v>
      </c>
      <c r="D25" s="350"/>
      <c r="E25" s="350"/>
      <c r="F25" s="350"/>
      <c r="G25" s="350"/>
      <c r="H25" s="350"/>
      <c r="K25" s="350" t="s">
        <v>168</v>
      </c>
      <c r="L25" s="350"/>
      <c r="M25" s="350"/>
      <c r="N25" s="350"/>
      <c r="O25" s="350"/>
      <c r="P25" s="350"/>
      <c r="Q25" s="350"/>
    </row>
    <row r="26" spans="2:22" ht="30.95" customHeight="1" x14ac:dyDescent="0.25">
      <c r="C26" s="5" t="s">
        <v>167</v>
      </c>
      <c r="D26" s="194"/>
      <c r="E26" s="194"/>
      <c r="F26" s="194"/>
      <c r="G26" s="194"/>
      <c r="H26" s="194"/>
      <c r="K26" s="195" t="s">
        <v>167</v>
      </c>
      <c r="L26" s="196"/>
      <c r="M26" s="196"/>
      <c r="N26" s="196"/>
      <c r="O26" s="196"/>
      <c r="P26" s="196"/>
    </row>
    <row r="27" spans="2:22" x14ac:dyDescent="0.25">
      <c r="B27" s="101"/>
      <c r="C27" s="197" t="s">
        <v>3</v>
      </c>
      <c r="D27" s="221">
        <v>25</v>
      </c>
      <c r="E27" s="221">
        <v>50</v>
      </c>
      <c r="F27" s="221">
        <v>100</v>
      </c>
      <c r="G27" s="221">
        <v>500</v>
      </c>
      <c r="H27" s="221">
        <v>1000</v>
      </c>
      <c r="J27" s="101"/>
      <c r="K27" s="197" t="s">
        <v>3</v>
      </c>
      <c r="L27" s="222">
        <f>D27</f>
        <v>25</v>
      </c>
      <c r="M27" s="222">
        <f>E27</f>
        <v>50</v>
      </c>
      <c r="N27" s="222">
        <f>F27</f>
        <v>100</v>
      </c>
      <c r="O27" s="222">
        <f>G27</f>
        <v>500</v>
      </c>
      <c r="P27" s="222">
        <f>H27</f>
        <v>1000</v>
      </c>
      <c r="R27" s="198"/>
    </row>
    <row r="28" spans="2:22" x14ac:dyDescent="0.25">
      <c r="C28" s="187" t="s">
        <v>5</v>
      </c>
      <c r="D28" s="199">
        <f>IF(AND($C$6="User Defined",'Annual Distribution Costs'!$E$34&lt;&gt;0,D$27&lt;=100),D$27/'Annual Distribution Costs'!$E$34*'Annual Distribution Costs'!$E$25,IF(AND($C$6="User Defined",'Annual Distribution Costs'!$F$34&lt;&gt;0,D$27&lt;=100),D$27/'Annual Distribution Costs'!$F$34*'Annual Distribution Costs'!$E$25,IF(AND($C$6="Average",'Annual Distribution Costs'!$F$34&lt;&gt;0,D$27&lt;=100),D$27/'Annual Distribution Costs'!$F$34*'Annual Distribution Costs'!$E$25,IF(AND($C$6="User Defined",'Annual Distribution Costs'!$E$34&lt;&gt;0,D27&gt;100),D$27/'Annual Distribution Costs'!$E$35*'Annual Distribution Costs'!$E$25,IF(AND($C$6="User Defined",'Annual Distribution Costs'!$F$35&lt;&gt;0,D$27&gt;100),D$27/'Annual Distribution Costs'!$F$35*'Annual Distribution Costs'!$E$25,IF(AND($C$6="Average",'Annual Distribution Costs'!$F$35&lt;&gt;0,D$27&gt;100),D$27/'Annual Distribution Costs'!$F$35*'Annual Distribution Costs'!$E$25,"Check Defined"))))))</f>
        <v>20</v>
      </c>
      <c r="E28" s="199">
        <f>IF(AND($C$6="User Defined",'Annual Distribution Costs'!$E$34&lt;&gt;0,E$27&lt;=100),E$27/'Annual Distribution Costs'!$E$34*'Annual Distribution Costs'!$E$25,IF(AND($C$6="User Defined",'Annual Distribution Costs'!$F$34&lt;&gt;0,E$27&lt;=100),E$27/'Annual Distribution Costs'!$F$34*'Annual Distribution Costs'!$E$25,IF(AND($C$6="Average",'Annual Distribution Costs'!$F$34&lt;&gt;0,E$27&lt;=100),E$27/'Annual Distribution Costs'!$F$34*'Annual Distribution Costs'!$E$25,IF(AND($C$6="User Defined",'Annual Distribution Costs'!$E$34&lt;&gt;0,E27&gt;100),E$27/'Annual Distribution Costs'!$E$35*'Annual Distribution Costs'!$E$25,IF(AND($C$6="User Defined",'Annual Distribution Costs'!$F$35&lt;&gt;0,E$27&gt;100),E$27/'Annual Distribution Costs'!$F$35*'Annual Distribution Costs'!$E$25,IF(AND($C$6="Average",'Annual Distribution Costs'!$F$35&lt;&gt;0,E$27&gt;100),E$27/'Annual Distribution Costs'!$F$35*'Annual Distribution Costs'!$E$25,"Check Defined"))))))</f>
        <v>40</v>
      </c>
      <c r="F28" s="199">
        <f>IF(AND($C$6="User Defined",'Annual Distribution Costs'!$E$34&lt;&gt;0,F$27&lt;=100),F$27/'Annual Distribution Costs'!$E$34*'Annual Distribution Costs'!$E$25,IF(AND($C$6="User Defined",'Annual Distribution Costs'!$F$34&lt;&gt;0,F$27&lt;=100),F$27/'Annual Distribution Costs'!$F$34*'Annual Distribution Costs'!$E$25,IF(AND($C$6="Average",'Annual Distribution Costs'!$F$34&lt;&gt;0,F$27&lt;=100),F$27/'Annual Distribution Costs'!$F$34*'Annual Distribution Costs'!$E$25,IF(AND($C$6="User Defined",'Annual Distribution Costs'!$E$34&lt;&gt;0,F27&gt;100),F$27/'Annual Distribution Costs'!$E$35*'Annual Distribution Costs'!$E$25,IF(AND($C$6="User Defined",'Annual Distribution Costs'!$F$35&lt;&gt;0,F$27&gt;100),F$27/'Annual Distribution Costs'!$F$35*'Annual Distribution Costs'!$E$25,IF(AND($C$6="Average",'Annual Distribution Costs'!$F$35&lt;&gt;0,F$27&gt;100),F$27/'Annual Distribution Costs'!$F$35*'Annual Distribution Costs'!$E$25,"Check Defined"))))))</f>
        <v>80</v>
      </c>
      <c r="G28" s="199">
        <f>IF(AND($C$6="User Defined",'Annual Distribution Costs'!$E$34&lt;&gt;0,G$27&lt;=100),G$27/'Annual Distribution Costs'!$E$34*'Annual Distribution Costs'!$E$25,IF(AND($C$6="User Defined",'Annual Distribution Costs'!$F$34&lt;&gt;0,G$27&lt;=100),G$27/'Annual Distribution Costs'!$F$34*'Annual Distribution Costs'!$E$25,IF(AND($C$6="Average",'Annual Distribution Costs'!$F$34&lt;&gt;0,G$27&lt;=100),G$27/'Annual Distribution Costs'!$F$34*'Annual Distribution Costs'!$E$25,IF(AND($C$6="User Defined",'Annual Distribution Costs'!$E$34&lt;&gt;0,G27&gt;100),G$27/'Annual Distribution Costs'!$E$35*'Annual Distribution Costs'!$E$25,IF(AND($C$6="User Defined",'Annual Distribution Costs'!$F$35&lt;&gt;0,G$27&gt;100),G$27/'Annual Distribution Costs'!$F$35*'Annual Distribution Costs'!$E$25,IF(AND($C$6="Average",'Annual Distribution Costs'!$F$35&lt;&gt;0,G$27&gt;100),G$27/'Annual Distribution Costs'!$F$35*'Annual Distribution Costs'!$E$25,"Check Defined"))))))</f>
        <v>240</v>
      </c>
      <c r="H28" s="199">
        <f>IF(AND($C$6="User Defined",'Annual Distribution Costs'!$E$34&lt;&gt;0,H$27&lt;=100),H$27/'Annual Distribution Costs'!$E$34*'Annual Distribution Costs'!$E$25,IF(AND($C$6="User Defined",'Annual Distribution Costs'!$F$34&lt;&gt;0,H$27&lt;=100),H$27/'Annual Distribution Costs'!$F$34*'Annual Distribution Costs'!$E$25,IF(AND($C$6="Average",'Annual Distribution Costs'!$F$34&lt;&gt;0,H$27&lt;=100),H$27/'Annual Distribution Costs'!$F$34*'Annual Distribution Costs'!$E$25,IF(AND($C$6="User Defined",'Annual Distribution Costs'!$E$34&lt;&gt;0,H27&gt;100),H$27/'Annual Distribution Costs'!$E$35*'Annual Distribution Costs'!$E$25,IF(AND($C$6="User Defined",'Annual Distribution Costs'!$F$35&lt;&gt;0,H$27&gt;100),H$27/'Annual Distribution Costs'!$F$35*'Annual Distribution Costs'!$E$25,IF(AND($C$6="Average",'Annual Distribution Costs'!$F$35&lt;&gt;0,H$27&gt;100),H$27/'Annual Distribution Costs'!$F$35*'Annual Distribution Costs'!$E$25,"Check Defined"))))))</f>
        <v>480</v>
      </c>
      <c r="K28" s="187" t="s">
        <v>5</v>
      </c>
      <c r="L28" s="199">
        <f>D28</f>
        <v>20</v>
      </c>
      <c r="M28" s="199">
        <f t="shared" ref="M28:P30" si="0">E28</f>
        <v>40</v>
      </c>
      <c r="N28" s="199">
        <f t="shared" si="0"/>
        <v>80</v>
      </c>
      <c r="O28" s="199">
        <f t="shared" si="0"/>
        <v>240</v>
      </c>
      <c r="P28" s="199">
        <f t="shared" si="0"/>
        <v>480</v>
      </c>
      <c r="R28" s="200"/>
    </row>
    <row r="29" spans="2:22" x14ac:dyDescent="0.25">
      <c r="C29" s="187" t="s">
        <v>6</v>
      </c>
      <c r="D29" s="201">
        <f>IF($C$6="User Defined",'Annual Distribution Costs'!$E$69*D$27,'Annual Distribution Costs'!$F$69*D$27)</f>
        <v>7.0500000000000007</v>
      </c>
      <c r="E29" s="201">
        <f>IF($C$6="User Defined",'Annual Distribution Costs'!$E$69*E$27,'Annual Distribution Costs'!$F$69*E$27)</f>
        <v>14.100000000000001</v>
      </c>
      <c r="F29" s="201">
        <f>IF($C$6="User Defined",'Annual Distribution Costs'!$E$69*F$27,'Annual Distribution Costs'!$F$69*F$27)</f>
        <v>28.200000000000003</v>
      </c>
      <c r="G29" s="201">
        <f>IF($C$6="User Defined",'Annual Distribution Costs'!$E$69*G$27,'Annual Distribution Costs'!$F$69*G$27)</f>
        <v>141</v>
      </c>
      <c r="H29" s="201">
        <f>IF($C$6="User Defined",'Annual Distribution Costs'!$E$69*H$27,'Annual Distribution Costs'!$F$69*H$27)</f>
        <v>282</v>
      </c>
      <c r="K29" s="187" t="s">
        <v>6</v>
      </c>
      <c r="L29" s="199">
        <f t="shared" ref="L29:L30" si="1">D29</f>
        <v>7.0500000000000007</v>
      </c>
      <c r="M29" s="199">
        <f t="shared" si="0"/>
        <v>14.100000000000001</v>
      </c>
      <c r="N29" s="199">
        <f t="shared" si="0"/>
        <v>28.200000000000003</v>
      </c>
      <c r="O29" s="199">
        <f t="shared" si="0"/>
        <v>141</v>
      </c>
      <c r="P29" s="199">
        <f t="shared" si="0"/>
        <v>282</v>
      </c>
      <c r="R29" s="200"/>
    </row>
    <row r="30" spans="2:22" ht="15.75" thickBot="1" x14ac:dyDescent="0.3">
      <c r="C30" s="187" t="s">
        <v>7</v>
      </c>
      <c r="D30" s="199">
        <f>D28+D29</f>
        <v>27.05</v>
      </c>
      <c r="E30" s="199">
        <f t="shared" ref="E30:H30" si="2">E28+E29</f>
        <v>54.1</v>
      </c>
      <c r="F30" s="199">
        <f t="shared" si="2"/>
        <v>108.2</v>
      </c>
      <c r="G30" s="199">
        <f t="shared" si="2"/>
        <v>381</v>
      </c>
      <c r="H30" s="199">
        <f t="shared" si="2"/>
        <v>762</v>
      </c>
      <c r="K30" s="187" t="s">
        <v>7</v>
      </c>
      <c r="L30" s="199">
        <f t="shared" si="1"/>
        <v>27.05</v>
      </c>
      <c r="M30" s="199">
        <f t="shared" si="0"/>
        <v>54.1</v>
      </c>
      <c r="N30" s="199">
        <f t="shared" si="0"/>
        <v>108.2</v>
      </c>
      <c r="O30" s="199">
        <f t="shared" si="0"/>
        <v>381</v>
      </c>
      <c r="P30" s="199">
        <f t="shared" si="0"/>
        <v>762</v>
      </c>
      <c r="R30" s="200"/>
    </row>
    <row r="31" spans="2:22" ht="14.45" customHeight="1" x14ac:dyDescent="0.25">
      <c r="B31" s="357" t="s">
        <v>155</v>
      </c>
      <c r="C31" s="202">
        <v>0.01</v>
      </c>
      <c r="D31" s="203">
        <f t="shared" ref="D31:H38" si="3">D$30/$C31</f>
        <v>2705</v>
      </c>
      <c r="E31" s="203">
        <f t="shared" si="3"/>
        <v>5410</v>
      </c>
      <c r="F31" s="203">
        <f t="shared" si="3"/>
        <v>10820</v>
      </c>
      <c r="G31" s="203">
        <f t="shared" si="3"/>
        <v>38100</v>
      </c>
      <c r="H31" s="203">
        <f t="shared" si="3"/>
        <v>76200</v>
      </c>
      <c r="J31" s="360" t="s">
        <v>136</v>
      </c>
      <c r="K31" s="204">
        <v>1</v>
      </c>
      <c r="L31" s="205">
        <f t="shared" ref="L31:P43" si="4">L$30/$K31</f>
        <v>27.05</v>
      </c>
      <c r="M31" s="205">
        <f t="shared" si="4"/>
        <v>54.1</v>
      </c>
      <c r="N31" s="205">
        <f t="shared" si="4"/>
        <v>108.2</v>
      </c>
      <c r="O31" s="205">
        <f t="shared" si="4"/>
        <v>381</v>
      </c>
      <c r="P31" s="205">
        <f t="shared" si="4"/>
        <v>762</v>
      </c>
      <c r="Q31" s="363" t="s">
        <v>156</v>
      </c>
      <c r="R31" s="200"/>
    </row>
    <row r="32" spans="2:22" x14ac:dyDescent="0.25">
      <c r="B32" s="358"/>
      <c r="C32" s="206">
        <v>0.02</v>
      </c>
      <c r="D32" s="203">
        <f t="shared" si="3"/>
        <v>1352.5</v>
      </c>
      <c r="E32" s="203">
        <f t="shared" si="3"/>
        <v>2705</v>
      </c>
      <c r="F32" s="203">
        <f t="shared" si="3"/>
        <v>5410</v>
      </c>
      <c r="G32" s="203">
        <f t="shared" si="3"/>
        <v>19050</v>
      </c>
      <c r="H32" s="203">
        <f t="shared" si="3"/>
        <v>38100</v>
      </c>
      <c r="J32" s="361"/>
      <c r="K32" s="207">
        <v>1.25</v>
      </c>
      <c r="L32" s="208">
        <f t="shared" si="4"/>
        <v>21.64</v>
      </c>
      <c r="M32" s="208">
        <f t="shared" si="4"/>
        <v>43.28</v>
      </c>
      <c r="N32" s="208">
        <f t="shared" si="4"/>
        <v>86.56</v>
      </c>
      <c r="O32" s="208">
        <f t="shared" si="4"/>
        <v>304.8</v>
      </c>
      <c r="P32" s="208">
        <f t="shared" si="4"/>
        <v>609.6</v>
      </c>
      <c r="Q32" s="364"/>
      <c r="R32" s="200"/>
    </row>
    <row r="33" spans="2:22" x14ac:dyDescent="0.25">
      <c r="B33" s="358"/>
      <c r="C33" s="206">
        <v>0.03</v>
      </c>
      <c r="D33" s="203">
        <f t="shared" si="3"/>
        <v>901.66666666666674</v>
      </c>
      <c r="E33" s="203">
        <f t="shared" si="3"/>
        <v>1803.3333333333335</v>
      </c>
      <c r="F33" s="203">
        <f t="shared" si="3"/>
        <v>3606.666666666667</v>
      </c>
      <c r="G33" s="203">
        <f t="shared" si="3"/>
        <v>12700</v>
      </c>
      <c r="H33" s="203">
        <f t="shared" si="3"/>
        <v>25400</v>
      </c>
      <c r="J33" s="361"/>
      <c r="K33" s="207">
        <v>1.5</v>
      </c>
      <c r="L33" s="208">
        <f t="shared" si="4"/>
        <v>18.033333333333335</v>
      </c>
      <c r="M33" s="208">
        <f t="shared" si="4"/>
        <v>36.06666666666667</v>
      </c>
      <c r="N33" s="208">
        <f t="shared" si="4"/>
        <v>72.13333333333334</v>
      </c>
      <c r="O33" s="208">
        <f t="shared" si="4"/>
        <v>254</v>
      </c>
      <c r="P33" s="208">
        <f t="shared" si="4"/>
        <v>508</v>
      </c>
      <c r="Q33" s="364"/>
      <c r="R33" s="200"/>
    </row>
    <row r="34" spans="2:22" x14ac:dyDescent="0.25">
      <c r="B34" s="358"/>
      <c r="C34" s="206">
        <v>0.04</v>
      </c>
      <c r="D34" s="203">
        <f t="shared" si="3"/>
        <v>676.25</v>
      </c>
      <c r="E34" s="203">
        <f t="shared" si="3"/>
        <v>1352.5</v>
      </c>
      <c r="F34" s="203">
        <f t="shared" si="3"/>
        <v>2705</v>
      </c>
      <c r="G34" s="203">
        <f t="shared" si="3"/>
        <v>9525</v>
      </c>
      <c r="H34" s="203">
        <f t="shared" si="3"/>
        <v>19050</v>
      </c>
      <c r="J34" s="361"/>
      <c r="K34" s="207">
        <v>1.75</v>
      </c>
      <c r="L34" s="208">
        <f t="shared" si="4"/>
        <v>15.457142857142857</v>
      </c>
      <c r="M34" s="208">
        <f t="shared" si="4"/>
        <v>30.914285714285715</v>
      </c>
      <c r="N34" s="208">
        <f t="shared" si="4"/>
        <v>61.828571428571429</v>
      </c>
      <c r="O34" s="208">
        <f t="shared" si="4"/>
        <v>217.71428571428572</v>
      </c>
      <c r="P34" s="208">
        <f t="shared" si="4"/>
        <v>435.42857142857144</v>
      </c>
      <c r="Q34" s="364"/>
      <c r="R34" s="200"/>
    </row>
    <row r="35" spans="2:22" x14ac:dyDescent="0.25">
      <c r="B35" s="358"/>
      <c r="C35" s="206">
        <v>0.05</v>
      </c>
      <c r="D35" s="203">
        <f t="shared" si="3"/>
        <v>541</v>
      </c>
      <c r="E35" s="203">
        <f t="shared" si="3"/>
        <v>1082</v>
      </c>
      <c r="F35" s="203">
        <f t="shared" si="3"/>
        <v>2164</v>
      </c>
      <c r="G35" s="203">
        <f t="shared" si="3"/>
        <v>7620</v>
      </c>
      <c r="H35" s="203">
        <f t="shared" si="3"/>
        <v>15240</v>
      </c>
      <c r="J35" s="361"/>
      <c r="K35" s="207">
        <v>2</v>
      </c>
      <c r="L35" s="208">
        <f t="shared" si="4"/>
        <v>13.525</v>
      </c>
      <c r="M35" s="208">
        <f t="shared" si="4"/>
        <v>27.05</v>
      </c>
      <c r="N35" s="208">
        <f t="shared" si="4"/>
        <v>54.1</v>
      </c>
      <c r="O35" s="208">
        <f t="shared" si="4"/>
        <v>190.5</v>
      </c>
      <c r="P35" s="208">
        <f t="shared" si="4"/>
        <v>381</v>
      </c>
      <c r="Q35" s="364"/>
      <c r="R35" s="200"/>
      <c r="S35" s="184"/>
    </row>
    <row r="36" spans="2:22" x14ac:dyDescent="0.25">
      <c r="B36" s="358"/>
      <c r="C36" s="206">
        <v>0.1</v>
      </c>
      <c r="D36" s="203">
        <f t="shared" si="3"/>
        <v>270.5</v>
      </c>
      <c r="E36" s="203">
        <f t="shared" si="3"/>
        <v>541</v>
      </c>
      <c r="F36" s="203">
        <f t="shared" si="3"/>
        <v>1082</v>
      </c>
      <c r="G36" s="203">
        <f t="shared" si="3"/>
        <v>3810</v>
      </c>
      <c r="H36" s="203">
        <f t="shared" si="3"/>
        <v>7620</v>
      </c>
      <c r="J36" s="361"/>
      <c r="K36" s="207">
        <v>2.25</v>
      </c>
      <c r="L36" s="208">
        <f t="shared" si="4"/>
        <v>12.022222222222222</v>
      </c>
      <c r="M36" s="208">
        <f t="shared" si="4"/>
        <v>24.044444444444444</v>
      </c>
      <c r="N36" s="208">
        <f t="shared" si="4"/>
        <v>48.088888888888889</v>
      </c>
      <c r="O36" s="208">
        <f t="shared" si="4"/>
        <v>169.33333333333334</v>
      </c>
      <c r="P36" s="208">
        <f t="shared" si="4"/>
        <v>338.66666666666669</v>
      </c>
      <c r="Q36" s="364"/>
      <c r="R36" s="200"/>
      <c r="S36" s="184"/>
    </row>
    <row r="37" spans="2:22" x14ac:dyDescent="0.25">
      <c r="B37" s="358"/>
      <c r="C37" s="206">
        <v>0.15</v>
      </c>
      <c r="D37" s="203">
        <f t="shared" si="3"/>
        <v>180.33333333333334</v>
      </c>
      <c r="E37" s="203">
        <f t="shared" si="3"/>
        <v>360.66666666666669</v>
      </c>
      <c r="F37" s="203">
        <f t="shared" si="3"/>
        <v>721.33333333333337</v>
      </c>
      <c r="G37" s="203">
        <f t="shared" si="3"/>
        <v>2540</v>
      </c>
      <c r="H37" s="203">
        <f t="shared" si="3"/>
        <v>5080</v>
      </c>
      <c r="J37" s="361"/>
      <c r="K37" s="207">
        <v>2.5</v>
      </c>
      <c r="L37" s="208">
        <f t="shared" si="4"/>
        <v>10.82</v>
      </c>
      <c r="M37" s="208">
        <f t="shared" si="4"/>
        <v>21.64</v>
      </c>
      <c r="N37" s="208">
        <f t="shared" si="4"/>
        <v>43.28</v>
      </c>
      <c r="O37" s="208">
        <f t="shared" si="4"/>
        <v>152.4</v>
      </c>
      <c r="P37" s="208">
        <f t="shared" si="4"/>
        <v>304.8</v>
      </c>
      <c r="Q37" s="364"/>
      <c r="R37" s="200"/>
      <c r="S37" s="184"/>
      <c r="T37" s="184"/>
      <c r="U37" s="184"/>
      <c r="V37" s="184"/>
    </row>
    <row r="38" spans="2:22" ht="15.75" thickBot="1" x14ac:dyDescent="0.3">
      <c r="B38" s="359"/>
      <c r="C38" s="209">
        <v>0.25</v>
      </c>
      <c r="D38" s="203">
        <f t="shared" si="3"/>
        <v>108.2</v>
      </c>
      <c r="E38" s="203">
        <f t="shared" si="3"/>
        <v>216.4</v>
      </c>
      <c r="F38" s="203">
        <f t="shared" si="3"/>
        <v>432.8</v>
      </c>
      <c r="G38" s="203">
        <f t="shared" si="3"/>
        <v>1524</v>
      </c>
      <c r="H38" s="203">
        <f t="shared" si="3"/>
        <v>3048</v>
      </c>
      <c r="J38" s="361"/>
      <c r="K38" s="207">
        <v>2.75</v>
      </c>
      <c r="L38" s="208">
        <f t="shared" si="4"/>
        <v>9.836363636363636</v>
      </c>
      <c r="M38" s="208">
        <f t="shared" si="4"/>
        <v>19.672727272727272</v>
      </c>
      <c r="N38" s="208">
        <f t="shared" si="4"/>
        <v>39.345454545454544</v>
      </c>
      <c r="O38" s="208">
        <f t="shared" si="4"/>
        <v>138.54545454545453</v>
      </c>
      <c r="P38" s="208">
        <f t="shared" si="4"/>
        <v>277.09090909090907</v>
      </c>
      <c r="Q38" s="364"/>
      <c r="R38" s="200"/>
      <c r="S38" s="184"/>
      <c r="T38" s="184"/>
      <c r="U38" s="184"/>
      <c r="V38" s="184"/>
    </row>
    <row r="39" spans="2:22" x14ac:dyDescent="0.25">
      <c r="J39" s="361"/>
      <c r="K39" s="207">
        <v>3</v>
      </c>
      <c r="L39" s="208">
        <f t="shared" si="4"/>
        <v>9.0166666666666675</v>
      </c>
      <c r="M39" s="208">
        <f t="shared" si="4"/>
        <v>18.033333333333335</v>
      </c>
      <c r="N39" s="208">
        <f t="shared" si="4"/>
        <v>36.06666666666667</v>
      </c>
      <c r="O39" s="208">
        <f t="shared" si="4"/>
        <v>127</v>
      </c>
      <c r="P39" s="208">
        <f t="shared" si="4"/>
        <v>254</v>
      </c>
      <c r="Q39" s="364"/>
      <c r="R39" s="200"/>
      <c r="S39" s="184"/>
      <c r="T39" s="184"/>
      <c r="U39" s="184"/>
      <c r="V39" s="184"/>
    </row>
    <row r="40" spans="2:22" x14ac:dyDescent="0.25">
      <c r="H40" s="210"/>
      <c r="J40" s="361"/>
      <c r="K40" s="207">
        <v>3.25</v>
      </c>
      <c r="L40" s="208">
        <f t="shared" si="4"/>
        <v>8.3230769230769237</v>
      </c>
      <c r="M40" s="208">
        <f t="shared" si="4"/>
        <v>16.646153846153847</v>
      </c>
      <c r="N40" s="208">
        <f t="shared" si="4"/>
        <v>33.292307692307695</v>
      </c>
      <c r="O40" s="208">
        <f t="shared" si="4"/>
        <v>117.23076923076923</v>
      </c>
      <c r="P40" s="208">
        <f t="shared" si="4"/>
        <v>234.46153846153845</v>
      </c>
      <c r="Q40" s="364"/>
      <c r="R40" s="200"/>
      <c r="S40" s="184"/>
      <c r="T40" s="184"/>
      <c r="U40" s="184"/>
      <c r="V40" s="184"/>
    </row>
    <row r="41" spans="2:22" x14ac:dyDescent="0.25">
      <c r="H41" s="210"/>
      <c r="J41" s="361"/>
      <c r="K41" s="207">
        <v>3.5</v>
      </c>
      <c r="L41" s="208">
        <f t="shared" si="4"/>
        <v>7.7285714285714286</v>
      </c>
      <c r="M41" s="208">
        <f t="shared" si="4"/>
        <v>15.457142857142857</v>
      </c>
      <c r="N41" s="208">
        <f t="shared" si="4"/>
        <v>30.914285714285715</v>
      </c>
      <c r="O41" s="208">
        <f t="shared" si="4"/>
        <v>108.85714285714286</v>
      </c>
      <c r="P41" s="208">
        <f t="shared" si="4"/>
        <v>217.71428571428572</v>
      </c>
      <c r="Q41" s="364"/>
    </row>
    <row r="42" spans="2:22" x14ac:dyDescent="0.25">
      <c r="H42" s="210"/>
      <c r="J42" s="361"/>
      <c r="K42" s="207">
        <v>3.75</v>
      </c>
      <c r="L42" s="208">
        <f t="shared" si="4"/>
        <v>7.2133333333333338</v>
      </c>
      <c r="M42" s="208">
        <f t="shared" si="4"/>
        <v>14.426666666666668</v>
      </c>
      <c r="N42" s="208">
        <f t="shared" si="4"/>
        <v>28.853333333333335</v>
      </c>
      <c r="O42" s="208">
        <f t="shared" si="4"/>
        <v>101.6</v>
      </c>
      <c r="P42" s="208">
        <f t="shared" si="4"/>
        <v>203.2</v>
      </c>
      <c r="Q42" s="364"/>
    </row>
    <row r="43" spans="2:22" ht="15.75" thickBot="1" x14ac:dyDescent="0.3">
      <c r="H43" s="210"/>
      <c r="J43" s="362"/>
      <c r="K43" s="211">
        <v>4</v>
      </c>
      <c r="L43" s="212">
        <f t="shared" si="4"/>
        <v>6.7625000000000002</v>
      </c>
      <c r="M43" s="212">
        <f t="shared" si="4"/>
        <v>13.525</v>
      </c>
      <c r="N43" s="212">
        <f t="shared" si="4"/>
        <v>27.05</v>
      </c>
      <c r="O43" s="212">
        <f t="shared" si="4"/>
        <v>95.25</v>
      </c>
      <c r="P43" s="212">
        <f t="shared" si="4"/>
        <v>190.5</v>
      </c>
      <c r="Q43" s="365"/>
    </row>
    <row r="44" spans="2:22" x14ac:dyDescent="0.25">
      <c r="H44" s="210"/>
    </row>
    <row r="45" spans="2:22" ht="21" x14ac:dyDescent="0.35">
      <c r="C45" s="191" t="s">
        <v>4</v>
      </c>
      <c r="D45" s="193"/>
      <c r="E45" s="193"/>
      <c r="F45" s="193"/>
      <c r="G45" s="193"/>
      <c r="H45" s="192"/>
      <c r="I45" s="193"/>
      <c r="J45" s="193"/>
      <c r="K45" s="193"/>
      <c r="L45" s="193"/>
      <c r="M45" s="193"/>
      <c r="N45" s="193"/>
      <c r="O45" s="193"/>
      <c r="P45" s="193"/>
      <c r="Q45" s="193"/>
    </row>
    <row r="46" spans="2:22" ht="42.95" customHeight="1" x14ac:dyDescent="0.25">
      <c r="C46" s="350" t="s">
        <v>169</v>
      </c>
      <c r="D46" s="350"/>
      <c r="E46" s="350"/>
      <c r="F46" s="350"/>
      <c r="G46" s="350"/>
      <c r="H46" s="350"/>
      <c r="K46" s="350" t="s">
        <v>168</v>
      </c>
      <c r="L46" s="350"/>
      <c r="M46" s="350"/>
      <c r="N46" s="350"/>
      <c r="O46" s="350"/>
      <c r="P46" s="350"/>
      <c r="Q46" s="350"/>
    </row>
    <row r="47" spans="2:22" x14ac:dyDescent="0.25">
      <c r="C47" s="195" t="s">
        <v>167</v>
      </c>
      <c r="D47" s="196"/>
      <c r="E47" s="196"/>
      <c r="F47" s="196"/>
      <c r="G47" s="196"/>
      <c r="H47" s="196"/>
      <c r="K47" s="195" t="s">
        <v>167</v>
      </c>
      <c r="L47" s="196"/>
      <c r="M47" s="196"/>
      <c r="N47" s="196"/>
      <c r="O47" s="196"/>
      <c r="P47" s="196"/>
    </row>
    <row r="48" spans="2:22" x14ac:dyDescent="0.25">
      <c r="B48" s="101"/>
      <c r="C48" s="197" t="s">
        <v>3</v>
      </c>
      <c r="D48" s="221">
        <v>25</v>
      </c>
      <c r="E48" s="221">
        <v>50</v>
      </c>
      <c r="F48" s="221">
        <v>100</v>
      </c>
      <c r="G48" s="221">
        <v>500</v>
      </c>
      <c r="H48" s="221">
        <v>1000</v>
      </c>
      <c r="J48" s="101"/>
      <c r="K48" s="197" t="s">
        <v>3</v>
      </c>
      <c r="L48" s="222">
        <f>D48</f>
        <v>25</v>
      </c>
      <c r="M48" s="222">
        <f t="shared" ref="M48:P48" si="5">E48</f>
        <v>50</v>
      </c>
      <c r="N48" s="222">
        <f t="shared" si="5"/>
        <v>100</v>
      </c>
      <c r="O48" s="222">
        <f t="shared" si="5"/>
        <v>500</v>
      </c>
      <c r="P48" s="222">
        <f t="shared" si="5"/>
        <v>1000</v>
      </c>
    </row>
    <row r="49" spans="2:17" x14ac:dyDescent="0.25">
      <c r="C49" s="213" t="s">
        <v>5</v>
      </c>
      <c r="D49" s="214">
        <f>IF(AND($C$6="User Defined",'Annual Distribution Costs'!$H$34&lt;&gt;0,D$48&lt;=100),D$48/'Annual Distribution Costs'!$H$34*'Annual Distribution Costs'!$E$25,IF(AND($C$6="User Defined",'Annual Distribution Costs'!$I$34&lt;&gt;0,D$48&lt;=100),D$48/'Annual Distribution Costs'!$I$34*'Annual Distribution Costs'!$E$25,IF(AND($C$6="Average",'Annual Distribution Costs'!$I$34&lt;&gt;0,D$48&lt;=100),D$48/'Annual Distribution Costs'!$I$34*'Annual Distribution Costs'!$E$25,IF(AND($C$6="User Defined",'Annual Distribution Costs'!$H$35&lt;&gt;0,D$48&gt;100),D$48/'Annual Distribution Costs'!$H$35*'Annual Distribution Costs'!$E$25,IF(AND($C$6="User Defined",'Annual Distribution Costs'!$I$35&lt;&gt;0,D$48&gt;100),D$48/'Annual Distribution Costs'!$I$35*'Annual Distribution Costs'!$E$25,IF(AND($C$6="Average",'Annual Distribution Costs'!$I$35&lt;&gt;0,D$48&gt;100),D$48/'Annual Distribution Costs'!$I$35*'Annual Distribution Costs'!$E$25,"Check Defined"))))))</f>
        <v>20</v>
      </c>
      <c r="E49" s="214">
        <f>IF(AND($C$6="User Defined",'Annual Distribution Costs'!$H$34&lt;&gt;0,E$48&lt;=100),E$48/'Annual Distribution Costs'!$H$34*'Annual Distribution Costs'!$E$25,IF(AND($C$6="User Defined",'Annual Distribution Costs'!$I$34&lt;&gt;0,E$48&lt;=100),E$48/'Annual Distribution Costs'!$I$34*'Annual Distribution Costs'!$E$25,IF(AND($C$6="Average",'Annual Distribution Costs'!$I$34&lt;&gt;0,E$48&lt;=100),E$48/'Annual Distribution Costs'!$I$34*'Annual Distribution Costs'!$E$25,IF(AND($C$6="User Defined",'Annual Distribution Costs'!$H$35&lt;&gt;0,E$48&gt;100),E$48/'Annual Distribution Costs'!$H$35*'Annual Distribution Costs'!$E$25,IF(AND($C$6="User Defined",'Annual Distribution Costs'!$I$35&lt;&gt;0,E$48&gt;100),E$48/'Annual Distribution Costs'!$I$35*'Annual Distribution Costs'!$E$25,IF(AND($C$6="Average",'Annual Distribution Costs'!$I$35&lt;&gt;0,E$48&gt;100),E$48/'Annual Distribution Costs'!$I$35*'Annual Distribution Costs'!$E$25,"Check Defined"))))))</f>
        <v>40</v>
      </c>
      <c r="F49" s="214">
        <f>IF(AND($C$6="User Defined",'Annual Distribution Costs'!$H$34&lt;&gt;0,F$48&lt;=100),F$48/'Annual Distribution Costs'!$H$34*'Annual Distribution Costs'!$E$25,IF(AND($C$6="User Defined",'Annual Distribution Costs'!$I$34&lt;&gt;0,F$48&lt;=100),F$48/'Annual Distribution Costs'!$I$34*'Annual Distribution Costs'!$E$25,IF(AND($C$6="Average",'Annual Distribution Costs'!$I$34&lt;&gt;0,F$48&lt;=100),F$48/'Annual Distribution Costs'!$I$34*'Annual Distribution Costs'!$E$25,IF(AND($C$6="User Defined",'Annual Distribution Costs'!$H$35&lt;&gt;0,F$48&gt;100),F$48/'Annual Distribution Costs'!$H$35*'Annual Distribution Costs'!$E$25,IF(AND($C$6="User Defined",'Annual Distribution Costs'!$I$35&lt;&gt;0,F$48&gt;100),F$48/'Annual Distribution Costs'!$I$35*'Annual Distribution Costs'!$E$25,IF(AND($C$6="Average",'Annual Distribution Costs'!$I$35&lt;&gt;0,F$48&gt;100),F$48/'Annual Distribution Costs'!$I$35*'Annual Distribution Costs'!$E$25,"Check Defined"))))))</f>
        <v>80</v>
      </c>
      <c r="G49" s="214">
        <f>IF(AND($C$6="User Defined",'Annual Distribution Costs'!$H$34&lt;&gt;0,G$48&lt;=100),G$48/'Annual Distribution Costs'!$H$34*'Annual Distribution Costs'!$E$25,IF(AND($C$6="User Defined",'Annual Distribution Costs'!$I$34&lt;&gt;0,G$48&lt;=100),G$48/'Annual Distribution Costs'!$I$34*'Annual Distribution Costs'!$E$25,IF(AND($C$6="Average",'Annual Distribution Costs'!$I$34&lt;&gt;0,G$48&lt;=100),G$48/'Annual Distribution Costs'!$I$34*'Annual Distribution Costs'!$E$25,IF(AND($C$6="User Defined",'Annual Distribution Costs'!$H$35&lt;&gt;0,G$48&gt;100),G$48/'Annual Distribution Costs'!$H$35*'Annual Distribution Costs'!$E$25,IF(AND($C$6="User Defined",'Annual Distribution Costs'!$I$35&lt;&gt;0,G$48&gt;100),G$48/'Annual Distribution Costs'!$I$35*'Annual Distribution Costs'!$E$25,IF(AND($C$6="Average",'Annual Distribution Costs'!$I$35&lt;&gt;0,G$48&gt;100),G$48/'Annual Distribution Costs'!$I$35*'Annual Distribution Costs'!$E$25,"Check Defined"))))))</f>
        <v>240</v>
      </c>
      <c r="H49" s="214">
        <f>IF(AND($C$6="User Defined",'Annual Distribution Costs'!$H$34&lt;&gt;0,H$48&lt;=100),H$48/'Annual Distribution Costs'!$H$34*'Annual Distribution Costs'!$E$25,IF(AND($C$6="User Defined",'Annual Distribution Costs'!$I$34&lt;&gt;0,H$48&lt;=100),H$48/'Annual Distribution Costs'!$I$34*'Annual Distribution Costs'!$E$25,IF(AND($C$6="Average",'Annual Distribution Costs'!$I$34&lt;&gt;0,H$48&lt;=100),H$48/'Annual Distribution Costs'!$I$34*'Annual Distribution Costs'!$E$25,IF(AND($C$6="User Defined",'Annual Distribution Costs'!$H$35&lt;&gt;0,H$48&gt;100),H$48/'Annual Distribution Costs'!$H$35*'Annual Distribution Costs'!$E$25,IF(AND($C$6="User Defined",'Annual Distribution Costs'!$I$35&lt;&gt;0,H$48&gt;100),H$48/'Annual Distribution Costs'!$I$35*'Annual Distribution Costs'!$E$25,IF(AND($C$6="Average",'Annual Distribution Costs'!$I$35&lt;&gt;0,H$48&gt;100),H$48/'Annual Distribution Costs'!$I$35*'Annual Distribution Costs'!$E$25,"Check Defined"))))))</f>
        <v>480</v>
      </c>
      <c r="K49" s="187" t="s">
        <v>5</v>
      </c>
      <c r="L49" s="214">
        <f>D49</f>
        <v>20</v>
      </c>
      <c r="M49" s="214">
        <f t="shared" ref="M49:M51" si="6">E49</f>
        <v>40</v>
      </c>
      <c r="N49" s="214">
        <f t="shared" ref="N49:N51" si="7">F49</f>
        <v>80</v>
      </c>
      <c r="O49" s="214">
        <f t="shared" ref="O49:O51" si="8">G49</f>
        <v>240</v>
      </c>
      <c r="P49" s="214">
        <f t="shared" ref="P49:P51" si="9">H49</f>
        <v>480</v>
      </c>
    </row>
    <row r="50" spans="2:17" x14ac:dyDescent="0.25">
      <c r="C50" s="187" t="s">
        <v>6</v>
      </c>
      <c r="D50" s="215">
        <f>IF($C$6="User Defined",'Annual Distribution Costs'!$H$72*D$48,'Annual Distribution Costs'!$I$72*D$48)</f>
        <v>68.054750722693612</v>
      </c>
      <c r="E50" s="215">
        <f>IF($C$6="User Defined",'Annual Distribution Costs'!$H$72*E$48,'Annual Distribution Costs'!$I$72*E$48)</f>
        <v>136.10950144538722</v>
      </c>
      <c r="F50" s="215">
        <f>IF($C$6="User Defined",'Annual Distribution Costs'!$H$72*F$48,'Annual Distribution Costs'!$I$72*F$48)</f>
        <v>272.21900289077445</v>
      </c>
      <c r="G50" s="215">
        <f>IF($C$6="User Defined",'Annual Distribution Costs'!$H$72*G$48,'Annual Distribution Costs'!$I$72*G$48)</f>
        <v>1361.0950144538722</v>
      </c>
      <c r="H50" s="215">
        <f>IF($C$6="User Defined",'Annual Distribution Costs'!$H$72*H$48,'Annual Distribution Costs'!$I$72*H$48)</f>
        <v>2722.1900289077444</v>
      </c>
      <c r="K50" s="187" t="s">
        <v>6</v>
      </c>
      <c r="L50" s="214">
        <f t="shared" ref="L50:L51" si="10">D50</f>
        <v>68.054750722693612</v>
      </c>
      <c r="M50" s="214">
        <f t="shared" si="6"/>
        <v>136.10950144538722</v>
      </c>
      <c r="N50" s="214">
        <f t="shared" si="7"/>
        <v>272.21900289077445</v>
      </c>
      <c r="O50" s="214">
        <f t="shared" si="8"/>
        <v>1361.0950144538722</v>
      </c>
      <c r="P50" s="214">
        <f t="shared" si="9"/>
        <v>2722.1900289077444</v>
      </c>
    </row>
    <row r="51" spans="2:17" ht="15.75" thickBot="1" x14ac:dyDescent="0.3">
      <c r="C51" s="187" t="s">
        <v>7</v>
      </c>
      <c r="D51" s="214">
        <f>D49+D50</f>
        <v>88.054750722693612</v>
      </c>
      <c r="E51" s="214">
        <f t="shared" ref="E51" si="11">E49+E50</f>
        <v>176.10950144538722</v>
      </c>
      <c r="F51" s="214">
        <f t="shared" ref="F51" si="12">F49+F50</f>
        <v>352.21900289077445</v>
      </c>
      <c r="G51" s="214">
        <f t="shared" ref="G51" si="13">G49+G50</f>
        <v>1601.0950144538722</v>
      </c>
      <c r="H51" s="214">
        <f t="shared" ref="H51" si="14">H49+H50</f>
        <v>3202.1900289077444</v>
      </c>
      <c r="K51" s="187" t="s">
        <v>7</v>
      </c>
      <c r="L51" s="214">
        <f t="shared" si="10"/>
        <v>88.054750722693612</v>
      </c>
      <c r="M51" s="214">
        <f t="shared" si="6"/>
        <v>176.10950144538722</v>
      </c>
      <c r="N51" s="214">
        <f t="shared" si="7"/>
        <v>352.21900289077445</v>
      </c>
      <c r="O51" s="214">
        <f t="shared" si="8"/>
        <v>1601.0950144538722</v>
      </c>
      <c r="P51" s="214">
        <f t="shared" si="9"/>
        <v>3202.1900289077444</v>
      </c>
    </row>
    <row r="52" spans="2:17" ht="14.45" customHeight="1" x14ac:dyDescent="0.25">
      <c r="B52" s="357" t="s">
        <v>155</v>
      </c>
      <c r="C52" s="216">
        <v>0.01</v>
      </c>
      <c r="D52" s="203">
        <f t="shared" ref="D52:H59" si="15">D$51/$C52</f>
        <v>8805.4750722693607</v>
      </c>
      <c r="E52" s="203">
        <f t="shared" si="15"/>
        <v>17610.950144538721</v>
      </c>
      <c r="F52" s="203">
        <f t="shared" si="15"/>
        <v>35221.900289077443</v>
      </c>
      <c r="G52" s="203">
        <f t="shared" si="15"/>
        <v>160109.50144538723</v>
      </c>
      <c r="H52" s="203">
        <f t="shared" si="15"/>
        <v>320219.00289077446</v>
      </c>
      <c r="J52" s="360" t="s">
        <v>136</v>
      </c>
      <c r="K52" s="204">
        <v>1</v>
      </c>
      <c r="L52" s="205">
        <f t="shared" ref="L52:P64" si="16">L$51/$K52</f>
        <v>88.054750722693612</v>
      </c>
      <c r="M52" s="205">
        <f t="shared" si="16"/>
        <v>176.10950144538722</v>
      </c>
      <c r="N52" s="205">
        <f t="shared" si="16"/>
        <v>352.21900289077445</v>
      </c>
      <c r="O52" s="205">
        <f t="shared" si="16"/>
        <v>1601.0950144538722</v>
      </c>
      <c r="P52" s="205">
        <f t="shared" si="16"/>
        <v>3202.1900289077444</v>
      </c>
      <c r="Q52" s="363" t="s">
        <v>156</v>
      </c>
    </row>
    <row r="53" spans="2:17" x14ac:dyDescent="0.25">
      <c r="B53" s="358"/>
      <c r="C53" s="217">
        <v>0.02</v>
      </c>
      <c r="D53" s="203">
        <f t="shared" si="15"/>
        <v>4402.7375361346803</v>
      </c>
      <c r="E53" s="203">
        <f t="shared" si="15"/>
        <v>8805.4750722693607</v>
      </c>
      <c r="F53" s="203">
        <f t="shared" si="15"/>
        <v>17610.950144538721</v>
      </c>
      <c r="G53" s="203">
        <f t="shared" si="15"/>
        <v>80054.750722693614</v>
      </c>
      <c r="H53" s="203">
        <f t="shared" si="15"/>
        <v>160109.50144538723</v>
      </c>
      <c r="J53" s="361"/>
      <c r="K53" s="207">
        <v>1.25</v>
      </c>
      <c r="L53" s="208">
        <f t="shared" si="16"/>
        <v>70.443800578154892</v>
      </c>
      <c r="M53" s="208">
        <f t="shared" si="16"/>
        <v>140.88760115630978</v>
      </c>
      <c r="N53" s="208">
        <f t="shared" si="16"/>
        <v>281.77520231261957</v>
      </c>
      <c r="O53" s="208">
        <f t="shared" si="16"/>
        <v>1280.8760115630978</v>
      </c>
      <c r="P53" s="208">
        <f t="shared" si="16"/>
        <v>2561.7520231261956</v>
      </c>
      <c r="Q53" s="364"/>
    </row>
    <row r="54" spans="2:17" x14ac:dyDescent="0.25">
      <c r="B54" s="358"/>
      <c r="C54" s="217">
        <v>0.03</v>
      </c>
      <c r="D54" s="203">
        <f t="shared" si="15"/>
        <v>2935.1583574231204</v>
      </c>
      <c r="E54" s="203">
        <f t="shared" si="15"/>
        <v>5870.3167148462408</v>
      </c>
      <c r="F54" s="203">
        <f t="shared" si="15"/>
        <v>11740.633429692482</v>
      </c>
      <c r="G54" s="203">
        <f t="shared" si="15"/>
        <v>53369.833815129074</v>
      </c>
      <c r="H54" s="203">
        <f t="shared" si="15"/>
        <v>106739.66763025815</v>
      </c>
      <c r="J54" s="361"/>
      <c r="K54" s="207">
        <v>1.5</v>
      </c>
      <c r="L54" s="208">
        <f t="shared" si="16"/>
        <v>58.703167148462406</v>
      </c>
      <c r="M54" s="208">
        <f t="shared" si="16"/>
        <v>117.40633429692481</v>
      </c>
      <c r="N54" s="208">
        <f t="shared" si="16"/>
        <v>234.81266859384962</v>
      </c>
      <c r="O54" s="208">
        <f t="shared" si="16"/>
        <v>1067.3966763025815</v>
      </c>
      <c r="P54" s="208">
        <f t="shared" si="16"/>
        <v>2134.7933526051629</v>
      </c>
      <c r="Q54" s="364"/>
    </row>
    <row r="55" spans="2:17" x14ac:dyDescent="0.25">
      <c r="B55" s="358"/>
      <c r="C55" s="217">
        <v>0.04</v>
      </c>
      <c r="D55" s="203">
        <f t="shared" si="15"/>
        <v>2201.3687680673402</v>
      </c>
      <c r="E55" s="203">
        <f t="shared" si="15"/>
        <v>4402.7375361346803</v>
      </c>
      <c r="F55" s="203">
        <f t="shared" si="15"/>
        <v>8805.4750722693607</v>
      </c>
      <c r="G55" s="203">
        <f t="shared" si="15"/>
        <v>40027.375361346807</v>
      </c>
      <c r="H55" s="203">
        <f t="shared" si="15"/>
        <v>80054.750722693614</v>
      </c>
      <c r="J55" s="361"/>
      <c r="K55" s="207">
        <v>1.75</v>
      </c>
      <c r="L55" s="208">
        <f t="shared" si="16"/>
        <v>50.317000412967779</v>
      </c>
      <c r="M55" s="208">
        <f t="shared" si="16"/>
        <v>100.63400082593556</v>
      </c>
      <c r="N55" s="208">
        <f t="shared" si="16"/>
        <v>201.26800165187112</v>
      </c>
      <c r="O55" s="208">
        <f t="shared" si="16"/>
        <v>914.91143683078406</v>
      </c>
      <c r="P55" s="208">
        <f t="shared" si="16"/>
        <v>1829.8228736615681</v>
      </c>
      <c r="Q55" s="364"/>
    </row>
    <row r="56" spans="2:17" x14ac:dyDescent="0.25">
      <c r="B56" s="358"/>
      <c r="C56" s="217">
        <v>0.05</v>
      </c>
      <c r="D56" s="203">
        <f t="shared" si="15"/>
        <v>1761.0950144538722</v>
      </c>
      <c r="E56" s="203">
        <f t="shared" si="15"/>
        <v>3522.1900289077444</v>
      </c>
      <c r="F56" s="203">
        <f t="shared" si="15"/>
        <v>7044.3800578154887</v>
      </c>
      <c r="G56" s="203">
        <f t="shared" si="15"/>
        <v>32021.900289077443</v>
      </c>
      <c r="H56" s="203">
        <f t="shared" si="15"/>
        <v>64043.800578154885</v>
      </c>
      <c r="J56" s="361"/>
      <c r="K56" s="207">
        <v>2</v>
      </c>
      <c r="L56" s="208">
        <f t="shared" si="16"/>
        <v>44.027375361346806</v>
      </c>
      <c r="M56" s="208">
        <f t="shared" si="16"/>
        <v>88.054750722693612</v>
      </c>
      <c r="N56" s="208">
        <f t="shared" si="16"/>
        <v>176.10950144538722</v>
      </c>
      <c r="O56" s="208">
        <f t="shared" si="16"/>
        <v>800.54750722693609</v>
      </c>
      <c r="P56" s="208">
        <f t="shared" si="16"/>
        <v>1601.0950144538722</v>
      </c>
      <c r="Q56" s="364"/>
    </row>
    <row r="57" spans="2:17" x14ac:dyDescent="0.25">
      <c r="B57" s="358"/>
      <c r="C57" s="217">
        <v>0.1</v>
      </c>
      <c r="D57" s="203">
        <f t="shared" si="15"/>
        <v>880.54750722693609</v>
      </c>
      <c r="E57" s="203">
        <f t="shared" si="15"/>
        <v>1761.0950144538722</v>
      </c>
      <c r="F57" s="203">
        <f t="shared" si="15"/>
        <v>3522.1900289077444</v>
      </c>
      <c r="G57" s="203">
        <f t="shared" si="15"/>
        <v>16010.950144538721</v>
      </c>
      <c r="H57" s="203">
        <f t="shared" si="15"/>
        <v>32021.900289077443</v>
      </c>
      <c r="J57" s="361"/>
      <c r="K57" s="207">
        <v>2.25</v>
      </c>
      <c r="L57" s="208">
        <f t="shared" si="16"/>
        <v>39.135444765641608</v>
      </c>
      <c r="M57" s="208">
        <f t="shared" si="16"/>
        <v>78.270889531283217</v>
      </c>
      <c r="N57" s="208">
        <f t="shared" si="16"/>
        <v>156.54177906256643</v>
      </c>
      <c r="O57" s="208">
        <f t="shared" si="16"/>
        <v>711.59778420172097</v>
      </c>
      <c r="P57" s="208">
        <f t="shared" si="16"/>
        <v>1423.1955684034419</v>
      </c>
      <c r="Q57" s="364"/>
    </row>
    <row r="58" spans="2:17" x14ac:dyDescent="0.25">
      <c r="B58" s="358"/>
      <c r="C58" s="217">
        <v>0.15</v>
      </c>
      <c r="D58" s="203">
        <f t="shared" si="15"/>
        <v>587.0316714846241</v>
      </c>
      <c r="E58" s="203">
        <f t="shared" si="15"/>
        <v>1174.0633429692482</v>
      </c>
      <c r="F58" s="203">
        <f t="shared" si="15"/>
        <v>2348.1266859384964</v>
      </c>
      <c r="G58" s="203">
        <f t="shared" si="15"/>
        <v>10673.966763025815</v>
      </c>
      <c r="H58" s="203">
        <f t="shared" si="15"/>
        <v>21347.933526051631</v>
      </c>
      <c r="J58" s="361"/>
      <c r="K58" s="207">
        <v>2.5</v>
      </c>
      <c r="L58" s="208">
        <f t="shared" si="16"/>
        <v>35.221900289077446</v>
      </c>
      <c r="M58" s="208">
        <f t="shared" si="16"/>
        <v>70.443800578154892</v>
      </c>
      <c r="N58" s="208">
        <f t="shared" si="16"/>
        <v>140.88760115630978</v>
      </c>
      <c r="O58" s="208">
        <f t="shared" si="16"/>
        <v>640.4380057815489</v>
      </c>
      <c r="P58" s="208">
        <f t="shared" si="16"/>
        <v>1280.8760115630978</v>
      </c>
      <c r="Q58" s="364"/>
    </row>
    <row r="59" spans="2:17" ht="15.75" thickBot="1" x14ac:dyDescent="0.3">
      <c r="B59" s="359"/>
      <c r="C59" s="218">
        <v>0.25</v>
      </c>
      <c r="D59" s="203">
        <f t="shared" si="15"/>
        <v>352.21900289077445</v>
      </c>
      <c r="E59" s="203">
        <f t="shared" si="15"/>
        <v>704.4380057815489</v>
      </c>
      <c r="F59" s="203">
        <f t="shared" si="15"/>
        <v>1408.8760115630978</v>
      </c>
      <c r="G59" s="203">
        <f t="shared" si="15"/>
        <v>6404.3800578154887</v>
      </c>
      <c r="H59" s="203">
        <f t="shared" si="15"/>
        <v>12808.760115630977</v>
      </c>
      <c r="J59" s="361"/>
      <c r="K59" s="207">
        <v>2.75</v>
      </c>
      <c r="L59" s="208">
        <f t="shared" si="16"/>
        <v>32.019909353706765</v>
      </c>
      <c r="M59" s="208">
        <f t="shared" si="16"/>
        <v>64.039818707413531</v>
      </c>
      <c r="N59" s="208">
        <f t="shared" si="16"/>
        <v>128.07963741482706</v>
      </c>
      <c r="O59" s="208">
        <f t="shared" si="16"/>
        <v>582.21636889231718</v>
      </c>
      <c r="P59" s="208">
        <f t="shared" si="16"/>
        <v>1164.4327377846344</v>
      </c>
      <c r="Q59" s="364"/>
    </row>
    <row r="60" spans="2:17" x14ac:dyDescent="0.25">
      <c r="J60" s="361"/>
      <c r="K60" s="207">
        <v>3</v>
      </c>
      <c r="L60" s="208">
        <f t="shared" si="16"/>
        <v>29.351583574231203</v>
      </c>
      <c r="M60" s="208">
        <f t="shared" si="16"/>
        <v>58.703167148462406</v>
      </c>
      <c r="N60" s="208">
        <f t="shared" si="16"/>
        <v>117.40633429692481</v>
      </c>
      <c r="O60" s="208">
        <f t="shared" si="16"/>
        <v>533.69833815129073</v>
      </c>
      <c r="P60" s="208">
        <f t="shared" si="16"/>
        <v>1067.3966763025815</v>
      </c>
      <c r="Q60" s="364"/>
    </row>
    <row r="61" spans="2:17" x14ac:dyDescent="0.25">
      <c r="J61" s="361"/>
      <c r="K61" s="207">
        <v>3.25</v>
      </c>
      <c r="L61" s="208">
        <f t="shared" si="16"/>
        <v>27.093769453136495</v>
      </c>
      <c r="M61" s="208">
        <f t="shared" si="16"/>
        <v>54.187538906272991</v>
      </c>
      <c r="N61" s="208">
        <f t="shared" si="16"/>
        <v>108.37507781254598</v>
      </c>
      <c r="O61" s="208">
        <f t="shared" si="16"/>
        <v>492.64461983196065</v>
      </c>
      <c r="P61" s="208">
        <f t="shared" si="16"/>
        <v>985.28923966392131</v>
      </c>
      <c r="Q61" s="364"/>
    </row>
    <row r="62" spans="2:17" x14ac:dyDescent="0.25">
      <c r="J62" s="361"/>
      <c r="K62" s="207">
        <v>3.5</v>
      </c>
      <c r="L62" s="208">
        <f t="shared" si="16"/>
        <v>25.15850020648389</v>
      </c>
      <c r="M62" s="208">
        <f t="shared" si="16"/>
        <v>50.317000412967779</v>
      </c>
      <c r="N62" s="208">
        <f t="shared" si="16"/>
        <v>100.63400082593556</v>
      </c>
      <c r="O62" s="208">
        <f t="shared" si="16"/>
        <v>457.45571841539203</v>
      </c>
      <c r="P62" s="208">
        <f t="shared" si="16"/>
        <v>914.91143683078406</v>
      </c>
      <c r="Q62" s="364"/>
    </row>
    <row r="63" spans="2:17" x14ac:dyDescent="0.25">
      <c r="J63" s="361"/>
      <c r="K63" s="207">
        <v>3.75</v>
      </c>
      <c r="L63" s="208">
        <f t="shared" si="16"/>
        <v>23.481266859384963</v>
      </c>
      <c r="M63" s="208">
        <f t="shared" si="16"/>
        <v>46.962533718769926</v>
      </c>
      <c r="N63" s="208">
        <f t="shared" si="16"/>
        <v>93.925067437539852</v>
      </c>
      <c r="O63" s="208">
        <f t="shared" si="16"/>
        <v>426.95867052103256</v>
      </c>
      <c r="P63" s="208">
        <f t="shared" si="16"/>
        <v>853.91734104206512</v>
      </c>
      <c r="Q63" s="364"/>
    </row>
    <row r="64" spans="2:17" ht="15.75" thickBot="1" x14ac:dyDescent="0.3">
      <c r="J64" s="362"/>
      <c r="K64" s="211">
        <v>4</v>
      </c>
      <c r="L64" s="212">
        <f t="shared" si="16"/>
        <v>22.013687680673403</v>
      </c>
      <c r="M64" s="212">
        <f t="shared" si="16"/>
        <v>44.027375361346806</v>
      </c>
      <c r="N64" s="212">
        <f t="shared" si="16"/>
        <v>88.054750722693612</v>
      </c>
      <c r="O64" s="212">
        <f t="shared" si="16"/>
        <v>400.27375361346805</v>
      </c>
      <c r="P64" s="212">
        <f t="shared" si="16"/>
        <v>800.54750722693609</v>
      </c>
      <c r="Q64" s="365"/>
    </row>
  </sheetData>
  <dataConsolidate/>
  <mergeCells count="19">
    <mergeCell ref="B31:B38"/>
    <mergeCell ref="B52:B59"/>
    <mergeCell ref="J52:J64"/>
    <mergeCell ref="Q52:Q64"/>
    <mergeCell ref="J31:J43"/>
    <mergeCell ref="K46:Q46"/>
    <mergeCell ref="Q31:Q43"/>
    <mergeCell ref="C46:H46"/>
    <mergeCell ref="E16:F16"/>
    <mergeCell ref="C23:Q23"/>
    <mergeCell ref="C25:H25"/>
    <mergeCell ref="B1:Q1"/>
    <mergeCell ref="B2:Q2"/>
    <mergeCell ref="K25:Q25"/>
    <mergeCell ref="B3:C3"/>
    <mergeCell ref="B4:Q4"/>
    <mergeCell ref="K12:Q14"/>
    <mergeCell ref="K16:P17"/>
    <mergeCell ref="E11:F11"/>
  </mergeCells>
  <conditionalFormatting sqref="L31:P43">
    <cfRule type="colorScale" priority="4">
      <colorScale>
        <cfvo type="min"/>
        <cfvo type="percentile" val="50"/>
        <cfvo type="max"/>
        <color rgb="FF63BE7B"/>
        <color rgb="FFFFEB84"/>
        <color rgb="FFF8696B"/>
      </colorScale>
    </cfRule>
  </conditionalFormatting>
  <conditionalFormatting sqref="L52:P64">
    <cfRule type="colorScale" priority="1">
      <colorScale>
        <cfvo type="min"/>
        <cfvo type="percentile" val="50"/>
        <cfvo type="max"/>
        <color rgb="FF63BE7B"/>
        <color rgb="FFFFEB84"/>
        <color rgb="FFF8696B"/>
      </colorScale>
    </cfRule>
  </conditionalFormatting>
  <conditionalFormatting sqref="D52:H59">
    <cfRule type="colorScale" priority="6">
      <colorScale>
        <cfvo type="min"/>
        <cfvo type="percentile" val="50"/>
        <cfvo type="max"/>
        <color rgb="FF63BE7B"/>
        <color rgb="FFFFEB84"/>
        <color rgb="FFF8696B"/>
      </colorScale>
    </cfRule>
  </conditionalFormatting>
  <conditionalFormatting sqref="D31:H38">
    <cfRule type="colorScale" priority="7">
      <colorScale>
        <cfvo type="min"/>
        <cfvo type="percentile" val="50"/>
        <cfvo type="max"/>
        <color rgb="FF63BE7B"/>
        <color rgb="FFFFEB84"/>
        <color rgb="FFF8696B"/>
      </colorScale>
    </cfRule>
  </conditionalFormatting>
  <pageMargins left="0.7" right="0.7" top="0.75" bottom="0.7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C9306-A03B-4149-A063-F0B4C5F81070}">
  <dimension ref="A1:D13"/>
  <sheetViews>
    <sheetView workbookViewId="0">
      <selection activeCell="D4" sqref="D4"/>
    </sheetView>
  </sheetViews>
  <sheetFormatPr defaultRowHeight="15" x14ac:dyDescent="0.25"/>
  <cols>
    <col min="1" max="1" width="13.5703125" customWidth="1"/>
    <col min="2" max="2" width="20" customWidth="1"/>
    <col min="3" max="3" width="12.85546875" customWidth="1"/>
    <col min="4" max="4" width="93.5703125" customWidth="1"/>
  </cols>
  <sheetData>
    <row r="1" spans="1:4" ht="26.25" x14ac:dyDescent="0.25">
      <c r="A1" s="366" t="s">
        <v>242</v>
      </c>
      <c r="B1" s="366"/>
      <c r="C1" s="366"/>
      <c r="D1" s="366"/>
    </row>
    <row r="2" spans="1:4" ht="26.25" x14ac:dyDescent="0.25">
      <c r="A2" s="366" t="s">
        <v>49</v>
      </c>
      <c r="B2" s="366"/>
      <c r="C2" s="366"/>
      <c r="D2" s="366"/>
    </row>
    <row r="3" spans="1:4" x14ac:dyDescent="0.25">
      <c r="A3" s="242" t="s">
        <v>184</v>
      </c>
      <c r="B3" s="242"/>
      <c r="C3" s="242"/>
      <c r="D3" s="242"/>
    </row>
    <row r="4" spans="1:4" x14ac:dyDescent="0.25">
      <c r="B4" s="243" t="s">
        <v>173</v>
      </c>
      <c r="C4" s="244" t="s">
        <v>174</v>
      </c>
      <c r="D4" s="1" t="s">
        <v>177</v>
      </c>
    </row>
    <row r="5" spans="1:4" ht="90" x14ac:dyDescent="0.25">
      <c r="A5" s="241" t="s">
        <v>179</v>
      </c>
      <c r="B5" s="21" t="s">
        <v>175</v>
      </c>
      <c r="C5" s="21" t="s">
        <v>176</v>
      </c>
      <c r="D5" s="240" t="s">
        <v>178</v>
      </c>
    </row>
    <row r="6" spans="1:4" ht="75" x14ac:dyDescent="0.25">
      <c r="A6" s="241" t="s">
        <v>180</v>
      </c>
      <c r="B6" s="21" t="s">
        <v>181</v>
      </c>
      <c r="C6" s="21" t="s">
        <v>182</v>
      </c>
      <c r="D6" s="239" t="s">
        <v>183</v>
      </c>
    </row>
    <row r="8" spans="1:4" x14ac:dyDescent="0.25">
      <c r="A8" s="242" t="s">
        <v>187</v>
      </c>
      <c r="B8" s="242"/>
      <c r="C8" s="242"/>
      <c r="D8" s="242"/>
    </row>
    <row r="9" spans="1:4" x14ac:dyDescent="0.25">
      <c r="B9" s="243" t="s">
        <v>173</v>
      </c>
      <c r="C9" s="244" t="s">
        <v>174</v>
      </c>
      <c r="D9" s="1" t="s">
        <v>177</v>
      </c>
    </row>
    <row r="10" spans="1:4" ht="135" x14ac:dyDescent="0.25">
      <c r="A10" s="241" t="s">
        <v>179</v>
      </c>
      <c r="B10" s="21" t="s">
        <v>185</v>
      </c>
      <c r="C10" s="240" t="s">
        <v>186</v>
      </c>
      <c r="D10" s="240" t="s">
        <v>188</v>
      </c>
    </row>
    <row r="11" spans="1:4" ht="105" x14ac:dyDescent="0.25">
      <c r="A11" s="241" t="s">
        <v>180</v>
      </c>
      <c r="B11" s="240" t="s">
        <v>189</v>
      </c>
      <c r="C11" s="240" t="s">
        <v>186</v>
      </c>
      <c r="D11" s="240" t="s">
        <v>190</v>
      </c>
    </row>
    <row r="12" spans="1:4" x14ac:dyDescent="0.25">
      <c r="A12" t="s">
        <v>191</v>
      </c>
    </row>
    <row r="13" spans="1:4" x14ac:dyDescent="0.25">
      <c r="A13">
        <v>1</v>
      </c>
      <c r="B13" t="s">
        <v>193</v>
      </c>
      <c r="D13" t="s">
        <v>192</v>
      </c>
    </row>
  </sheetData>
  <mergeCells count="2">
    <mergeCell ref="A1:D1"/>
    <mergeCell ref="A2:D2"/>
  </mergeCells>
  <pageMargins left="0.7" right="0.7" top="0.75" bottom="0.75" header="0.3" footer="0.3"/>
  <pageSetup orientation="portrait" r:id="rId1"/>
  <ignoredErrors>
    <ignoredError sqref="A5:A6 A10:A1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5"/>
  <sheetViews>
    <sheetView workbookViewId="0">
      <selection activeCell="J5" sqref="J5"/>
    </sheetView>
  </sheetViews>
  <sheetFormatPr defaultRowHeight="15" x14ac:dyDescent="0.25"/>
  <sheetData>
    <row r="2" spans="1:10" x14ac:dyDescent="0.25">
      <c r="A2" s="1" t="s">
        <v>44</v>
      </c>
      <c r="E2" s="1" t="s">
        <v>56</v>
      </c>
    </row>
    <row r="3" spans="1:10" x14ac:dyDescent="0.25">
      <c r="A3" s="3" t="s">
        <v>45</v>
      </c>
      <c r="E3" t="s">
        <v>57</v>
      </c>
      <c r="H3" t="s">
        <v>107</v>
      </c>
      <c r="J3" t="s">
        <v>109</v>
      </c>
    </row>
    <row r="4" spans="1:10" x14ac:dyDescent="0.25">
      <c r="A4" t="s">
        <v>50</v>
      </c>
      <c r="E4" t="s">
        <v>59</v>
      </c>
      <c r="H4" t="s">
        <v>108</v>
      </c>
      <c r="J4" t="s">
        <v>108</v>
      </c>
    </row>
    <row r="5" spans="1:10" x14ac:dyDescent="0.25">
      <c r="A5" t="s">
        <v>8</v>
      </c>
      <c r="E5"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Instructions WPW tab</vt:lpstr>
      <vt:lpstr>Wholesale Price Waterfall</vt:lpstr>
      <vt:lpstr>Instructions ADC tab</vt:lpstr>
      <vt:lpstr>Annual Distribution Costs</vt:lpstr>
      <vt:lpstr>Instructions TBC tab</vt:lpstr>
      <vt:lpstr>Trip Based Costs</vt:lpstr>
      <vt:lpstr>Non-Cash Considerations</vt:lpstr>
      <vt:lpstr>DefineNames</vt:lpstr>
      <vt:lpstr>'Annual Distribution Costs'!Print_Area</vt:lpstr>
      <vt:lpstr>'Instructions ADC tab'!Print_Area</vt:lpstr>
      <vt:lpstr>'Instructions TBC tab'!Print_Area</vt:lpstr>
      <vt:lpstr>'Instructions WPW tab'!Print_Area</vt:lpstr>
      <vt:lpstr>Overview!Print_Area</vt:lpstr>
      <vt:lpstr>'Trip Based Costs'!Print_Area</vt:lpstr>
      <vt:lpstr>TruckCostInputData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 Locquiao</dc:creator>
  <cp:lastModifiedBy>Donovan, Kathryn</cp:lastModifiedBy>
  <cp:lastPrinted>2020-02-13T02:36:35Z</cp:lastPrinted>
  <dcterms:created xsi:type="dcterms:W3CDTF">2017-08-07T01:58:04Z</dcterms:created>
  <dcterms:modified xsi:type="dcterms:W3CDTF">2020-02-26T19:05:19Z</dcterms:modified>
</cp:coreProperties>
</file>