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5.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winrockintl-my.sharepoint.com/personal/jwinsten_winrock_org/Documents/T440 Backup/JRW/JRW/Consulting/PES WG/Task 4 Cost Analysis/"/>
    </mc:Choice>
  </mc:AlternateContent>
  <xr:revisionPtr revIDLastSave="564" documentId="8_{0D81B706-9D81-41ED-899E-C848AEAA5F60}" xr6:coauthVersionLast="47" xr6:coauthVersionMax="47" xr10:uidLastSave="{DC6A5154-6BBE-4723-964F-DC9DE07A2D17}"/>
  <bookViews>
    <workbookView xWindow="-120" yWindow="-120" windowWidth="29040" windowHeight="15840" activeTab="2" xr2:uid="{00000000-000D-0000-FFFF-FFFF00000000}"/>
  </bookViews>
  <sheets>
    <sheet name="4a Soil Conserving Rotation" sheetId="2" r:id="rId1"/>
    <sheet name="4b Cover Crops and Cons. Till." sheetId="5" r:id="rId2"/>
    <sheet name="4c Amendments" sheetId="6" r:id="rId3"/>
    <sheet name="Tilllage" sheetId="7" r:id="rId4"/>
    <sheet name="Cabbage" sheetId="1" r:id="rId5"/>
    <sheet name="Sweet Corn" sheetId="4" r:id="rId6"/>
    <sheet name="corn-cons" sheetId="8" r:id="rId7"/>
  </sheets>
  <definedNames>
    <definedName name="_xlnm.Print_Area" localSheetId="4">Cabbage!$A$1:$F$118</definedName>
    <definedName name="_xlnm.Print_Area" localSheetId="6">'corn-cons'!$A$1:$N$113</definedName>
    <definedName name="_xlnm.Print_Area" localSheetId="5">'Sweet Corn'!$A$2:$F$116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5" i="6" l="1"/>
  <c r="K84" i="6"/>
  <c r="K83" i="6"/>
  <c r="K82" i="6"/>
  <c r="K81" i="6"/>
  <c r="K80" i="6"/>
  <c r="K79" i="6"/>
  <c r="K78" i="6"/>
  <c r="H85" i="6"/>
  <c r="H84" i="6"/>
  <c r="H83" i="6"/>
  <c r="H82" i="6"/>
  <c r="H81" i="6"/>
  <c r="H80" i="6"/>
  <c r="H79" i="6"/>
  <c r="H78" i="6"/>
  <c r="E79" i="6"/>
  <c r="E80" i="6"/>
  <c r="E81" i="6"/>
  <c r="E82" i="6"/>
  <c r="E83" i="6"/>
  <c r="E94" i="6" s="1"/>
  <c r="E84" i="6"/>
  <c r="E85" i="6"/>
  <c r="E78" i="6"/>
  <c r="E92" i="6" s="1"/>
  <c r="N19" i="6"/>
  <c r="M31" i="6" s="1"/>
  <c r="N20" i="6"/>
  <c r="N21" i="6"/>
  <c r="N22" i="6"/>
  <c r="N23" i="6"/>
  <c r="M35" i="6" s="1"/>
  <c r="N24" i="6"/>
  <c r="M36" i="6" s="1"/>
  <c r="N25" i="6"/>
  <c r="N18" i="6"/>
  <c r="M30" i="6" s="1"/>
  <c r="N30" i="6" s="1"/>
  <c r="F43" i="2"/>
  <c r="F39" i="2"/>
  <c r="F35" i="2"/>
  <c r="P28" i="5"/>
  <c r="AF30" i="5"/>
  <c r="AF29" i="5"/>
  <c r="AF28" i="5"/>
  <c r="M44" i="8"/>
  <c r="L44" i="8"/>
  <c r="K44" i="8"/>
  <c r="N44" i="8"/>
  <c r="N31" i="8"/>
  <c r="M31" i="8"/>
  <c r="L31" i="8"/>
  <c r="K31" i="8"/>
  <c r="N28" i="8"/>
  <c r="N27" i="8"/>
  <c r="M27" i="8"/>
  <c r="L27" i="8"/>
  <c r="K27" i="8"/>
  <c r="I26" i="8"/>
  <c r="L26" i="8" s="1"/>
  <c r="G26" i="8"/>
  <c r="M26" i="8" s="1"/>
  <c r="F26" i="8"/>
  <c r="E26" i="8"/>
  <c r="I25" i="8"/>
  <c r="L25" i="8" s="1"/>
  <c r="G25" i="8"/>
  <c r="M25" i="8" s="1"/>
  <c r="F25" i="8"/>
  <c r="E25" i="8"/>
  <c r="M24" i="8"/>
  <c r="I24" i="8"/>
  <c r="L24" i="8" s="1"/>
  <c r="N23" i="8"/>
  <c r="I23" i="8"/>
  <c r="I22" i="8"/>
  <c r="N22" i="8" s="1"/>
  <c r="I19" i="8"/>
  <c r="M19" i="8" s="1"/>
  <c r="M10" i="8"/>
  <c r="M16" i="8" s="1"/>
  <c r="L10" i="8"/>
  <c r="L16" i="8" s="1"/>
  <c r="K10" i="8"/>
  <c r="K16" i="8" s="1"/>
  <c r="N10" i="8"/>
  <c r="N16" i="8" s="1"/>
  <c r="H92" i="6" l="1"/>
  <c r="K96" i="6"/>
  <c r="H95" i="6"/>
  <c r="H91" i="6"/>
  <c r="K93" i="6"/>
  <c r="E91" i="6"/>
  <c r="H94" i="6"/>
  <c r="K90" i="6"/>
  <c r="K94" i="6"/>
  <c r="H90" i="6"/>
  <c r="H93" i="6"/>
  <c r="K91" i="6"/>
  <c r="K95" i="6"/>
  <c r="E95" i="6"/>
  <c r="H96" i="6"/>
  <c r="K92" i="6"/>
  <c r="E90" i="6"/>
  <c r="E93" i="6"/>
  <c r="E96" i="6"/>
  <c r="M32" i="6"/>
  <c r="M34" i="6"/>
  <c r="M37" i="6"/>
  <c r="M33" i="6"/>
  <c r="M45" i="8"/>
  <c r="M50" i="8" s="1"/>
  <c r="N45" i="8"/>
  <c r="N50" i="8" s="1"/>
  <c r="M40" i="8"/>
  <c r="L38" i="8"/>
  <c r="K45" i="8"/>
  <c r="K50" i="8" s="1"/>
  <c r="M38" i="8"/>
  <c r="L45" i="8"/>
  <c r="L50" i="8" s="1"/>
  <c r="N19" i="8"/>
  <c r="K19" i="8"/>
  <c r="N24" i="8"/>
  <c r="N38" i="8" s="1"/>
  <c r="N25" i="8"/>
  <c r="N26" i="8"/>
  <c r="L19" i="8"/>
  <c r="K24" i="8"/>
  <c r="K25" i="8"/>
  <c r="K26" i="8"/>
  <c r="L40" i="8" l="1"/>
  <c r="M52" i="8"/>
  <c r="M41" i="8"/>
  <c r="M56" i="8"/>
  <c r="M55" i="8"/>
  <c r="N40" i="8"/>
  <c r="K38" i="8"/>
  <c r="K40" i="8" s="1"/>
  <c r="K41" i="8" l="1"/>
  <c r="K52" i="8"/>
  <c r="K56" i="8"/>
  <c r="K55" i="8"/>
  <c r="N52" i="8"/>
  <c r="N41" i="8"/>
  <c r="N55" i="8"/>
  <c r="C24" i="2" s="1"/>
  <c r="N56" i="8"/>
  <c r="M53" i="8"/>
  <c r="M57" i="8"/>
  <c r="L52" i="8"/>
  <c r="L41" i="8"/>
  <c r="L56" i="8"/>
  <c r="L55" i="8"/>
  <c r="L53" i="8" l="1"/>
  <c r="L57" i="8"/>
  <c r="M59" i="8"/>
  <c r="M58" i="8"/>
  <c r="M60" i="8"/>
  <c r="K53" i="8"/>
  <c r="K57" i="8"/>
  <c r="N53" i="8"/>
  <c r="N57" i="8"/>
  <c r="N60" i="8" l="1"/>
  <c r="N59" i="8"/>
  <c r="N58" i="8"/>
  <c r="K60" i="8"/>
  <c r="K59" i="8"/>
  <c r="K58" i="8"/>
  <c r="L60" i="8"/>
  <c r="L59" i="8"/>
  <c r="L58" i="8"/>
  <c r="D31" i="6" l="1"/>
  <c r="E31" i="6"/>
  <c r="F31" i="6"/>
  <c r="G31" i="6"/>
  <c r="H31" i="6"/>
  <c r="I31" i="6"/>
  <c r="J31" i="6"/>
  <c r="K31" i="6"/>
  <c r="D32" i="6"/>
  <c r="E32" i="6"/>
  <c r="F32" i="6"/>
  <c r="G32" i="6"/>
  <c r="H32" i="6"/>
  <c r="I32" i="6"/>
  <c r="J32" i="6"/>
  <c r="K32" i="6"/>
  <c r="D33" i="6"/>
  <c r="E33" i="6"/>
  <c r="F33" i="6"/>
  <c r="G33" i="6"/>
  <c r="H33" i="6"/>
  <c r="I33" i="6"/>
  <c r="J33" i="6"/>
  <c r="K33" i="6"/>
  <c r="D34" i="6"/>
  <c r="E34" i="6"/>
  <c r="F34" i="6"/>
  <c r="G34" i="6"/>
  <c r="H34" i="6"/>
  <c r="I34" i="6"/>
  <c r="J34" i="6"/>
  <c r="K34" i="6"/>
  <c r="D35" i="6"/>
  <c r="E35" i="6"/>
  <c r="F35" i="6"/>
  <c r="G35" i="6"/>
  <c r="H35" i="6"/>
  <c r="I35" i="6"/>
  <c r="J35" i="6"/>
  <c r="K35" i="6"/>
  <c r="D36" i="6"/>
  <c r="E36" i="6"/>
  <c r="F36" i="6"/>
  <c r="G36" i="6"/>
  <c r="H36" i="6"/>
  <c r="I36" i="6"/>
  <c r="J36" i="6"/>
  <c r="K36" i="6"/>
  <c r="C32" i="6"/>
  <c r="C33" i="6"/>
  <c r="C34" i="6"/>
  <c r="C35" i="6"/>
  <c r="C36" i="6"/>
  <c r="C31" i="6"/>
  <c r="C15" i="5"/>
  <c r="C16" i="5"/>
  <c r="C14" i="5"/>
  <c r="I18" i="5"/>
  <c r="I19" i="5"/>
  <c r="I17" i="5"/>
  <c r="Z8" i="7"/>
  <c r="Z9" i="7"/>
  <c r="Z10" i="7"/>
  <c r="Z11" i="7"/>
  <c r="Z12" i="7"/>
  <c r="Z13" i="7"/>
  <c r="Z14" i="7"/>
  <c r="Z15" i="7"/>
  <c r="Z16" i="7"/>
  <c r="Z17" i="7"/>
  <c r="Z18" i="7"/>
  <c r="Z19" i="7"/>
  <c r="Z20" i="7"/>
  <c r="U7" i="7"/>
  <c r="U8" i="7"/>
  <c r="U9" i="7"/>
  <c r="U10" i="7"/>
  <c r="U11" i="7"/>
  <c r="U12" i="7"/>
  <c r="U13" i="7"/>
  <c r="U14" i="7"/>
  <c r="U15" i="7"/>
  <c r="U16" i="7"/>
  <c r="U17" i="7"/>
  <c r="U18" i="7"/>
  <c r="U19" i="7"/>
  <c r="U20" i="7"/>
  <c r="U6" i="7"/>
  <c r="AA20" i="7"/>
  <c r="W20" i="7"/>
  <c r="R20" i="7"/>
  <c r="O20" i="7"/>
  <c r="L20" i="7"/>
  <c r="I20" i="7"/>
  <c r="F20" i="7"/>
  <c r="AA19" i="7"/>
  <c r="W19" i="7"/>
  <c r="R19" i="7"/>
  <c r="O19" i="7"/>
  <c r="L19" i="7"/>
  <c r="I19" i="7"/>
  <c r="F19" i="7"/>
  <c r="AA18" i="7"/>
  <c r="W18" i="7"/>
  <c r="R18" i="7"/>
  <c r="O18" i="7"/>
  <c r="L18" i="7"/>
  <c r="I18" i="7"/>
  <c r="F18" i="7"/>
  <c r="AA17" i="7"/>
  <c r="W17" i="7"/>
  <c r="R17" i="7"/>
  <c r="O17" i="7"/>
  <c r="L17" i="7"/>
  <c r="I17" i="7"/>
  <c r="F17" i="7"/>
  <c r="AA16" i="7"/>
  <c r="W16" i="7"/>
  <c r="R16" i="7"/>
  <c r="O16" i="7"/>
  <c r="L16" i="7"/>
  <c r="I16" i="7"/>
  <c r="F16" i="7"/>
  <c r="AA15" i="7"/>
  <c r="W15" i="7"/>
  <c r="R15" i="7"/>
  <c r="O15" i="7"/>
  <c r="L15" i="7"/>
  <c r="I15" i="7"/>
  <c r="F15" i="7"/>
  <c r="AA14" i="7"/>
  <c r="W14" i="7"/>
  <c r="R14" i="7"/>
  <c r="O14" i="7"/>
  <c r="L14" i="7"/>
  <c r="I14" i="7"/>
  <c r="F14" i="7"/>
  <c r="AA13" i="7"/>
  <c r="W13" i="7"/>
  <c r="R13" i="7"/>
  <c r="O13" i="7"/>
  <c r="L13" i="7"/>
  <c r="I13" i="7"/>
  <c r="F13" i="7"/>
  <c r="AA12" i="7"/>
  <c r="W12" i="7"/>
  <c r="R12" i="7"/>
  <c r="O12" i="7"/>
  <c r="L12" i="7"/>
  <c r="I12" i="7"/>
  <c r="F12" i="7"/>
  <c r="AA11" i="7"/>
  <c r="W11" i="7"/>
  <c r="R11" i="7"/>
  <c r="O11" i="7"/>
  <c r="L11" i="7"/>
  <c r="I11" i="7"/>
  <c r="F11" i="7"/>
  <c r="AA10" i="7"/>
  <c r="W10" i="7"/>
  <c r="R10" i="7"/>
  <c r="O10" i="7"/>
  <c r="L10" i="7"/>
  <c r="I10" i="7"/>
  <c r="F10" i="7"/>
  <c r="AA9" i="7"/>
  <c r="W9" i="7"/>
  <c r="R9" i="7"/>
  <c r="O9" i="7"/>
  <c r="L9" i="7"/>
  <c r="I9" i="7"/>
  <c r="F9" i="7"/>
  <c r="AA8" i="7"/>
  <c r="W8" i="7"/>
  <c r="R8" i="7"/>
  <c r="O8" i="7"/>
  <c r="L8" i="7"/>
  <c r="I8" i="7"/>
  <c r="F8" i="7"/>
  <c r="W7" i="7"/>
  <c r="R7" i="7"/>
  <c r="O7" i="7"/>
  <c r="L7" i="7"/>
  <c r="I7" i="7"/>
  <c r="F7" i="7"/>
  <c r="Z7" i="7" s="1"/>
  <c r="AA7" i="7" s="1"/>
  <c r="W6" i="7"/>
  <c r="R6" i="7"/>
  <c r="O6" i="7"/>
  <c r="L6" i="7"/>
  <c r="I6" i="7"/>
  <c r="F6" i="7"/>
  <c r="I28" i="5"/>
  <c r="Y28" i="5" s="1"/>
  <c r="I27" i="5"/>
  <c r="Y30" i="5" s="1"/>
  <c r="D46" i="6"/>
  <c r="F54" i="6" s="1"/>
  <c r="G54" i="6" s="1"/>
  <c r="H54" i="6" s="1"/>
  <c r="AG30" i="5"/>
  <c r="E55" i="6"/>
  <c r="I55" i="6" s="1"/>
  <c r="E56" i="6"/>
  <c r="E57" i="6"/>
  <c r="E54" i="6"/>
  <c r="Q28" i="5"/>
  <c r="V29" i="5"/>
  <c r="X29" i="5" s="1"/>
  <c r="V30" i="5"/>
  <c r="V28" i="5"/>
  <c r="X28" i="5" s="1"/>
  <c r="X30" i="5"/>
  <c r="F30" i="5"/>
  <c r="F27" i="5"/>
  <c r="C20" i="2"/>
  <c r="G20" i="2" s="1"/>
  <c r="D31" i="2" s="1"/>
  <c r="AA30" i="5"/>
  <c r="F29" i="5"/>
  <c r="F28" i="5"/>
  <c r="Q27" i="5"/>
  <c r="D20" i="2"/>
  <c r="E24" i="2"/>
  <c r="E20" i="2"/>
  <c r="D27" i="4"/>
  <c r="E27" i="4"/>
  <c r="E33" i="4"/>
  <c r="E34" i="4"/>
  <c r="E35" i="4"/>
  <c r="E36" i="4"/>
  <c r="E37" i="4"/>
  <c r="E38" i="4"/>
  <c r="E39" i="4"/>
  <c r="E40" i="4"/>
  <c r="E41" i="4"/>
  <c r="E42" i="4"/>
  <c r="E43" i="4"/>
  <c r="E45" i="4"/>
  <c r="E46" i="4"/>
  <c r="E47" i="4" s="1"/>
  <c r="E56" i="4"/>
  <c r="E57" i="4"/>
  <c r="E59" i="4"/>
  <c r="E62" i="4"/>
  <c r="E63" i="4"/>
  <c r="E64" i="4"/>
  <c r="E65" i="4"/>
  <c r="E66" i="4"/>
  <c r="E67" i="4"/>
  <c r="C89" i="4" s="1"/>
  <c r="D73" i="4"/>
  <c r="F73" i="4"/>
  <c r="D74" i="4"/>
  <c r="D81" i="4" s="1"/>
  <c r="F74" i="4"/>
  <c r="F81" i="4" s="1"/>
  <c r="C91" i="4" s="1"/>
  <c r="D75" i="4"/>
  <c r="F75" i="4"/>
  <c r="D76" i="4"/>
  <c r="F76" i="4"/>
  <c r="D77" i="4"/>
  <c r="F77" i="4"/>
  <c r="D78" i="4"/>
  <c r="F78" i="4"/>
  <c r="D79" i="4"/>
  <c r="F79" i="4"/>
  <c r="D80" i="4"/>
  <c r="F80" i="4"/>
  <c r="A86" i="4"/>
  <c r="B87" i="4"/>
  <c r="C87" i="4"/>
  <c r="B88" i="4"/>
  <c r="C88" i="4"/>
  <c r="B99" i="4"/>
  <c r="C99" i="4"/>
  <c r="D99" i="4"/>
  <c r="E99" i="4"/>
  <c r="B100" i="4"/>
  <c r="C100" i="4"/>
  <c r="D100" i="4"/>
  <c r="E100" i="4"/>
  <c r="B101" i="4"/>
  <c r="C101" i="4"/>
  <c r="D101" i="4"/>
  <c r="E101" i="4"/>
  <c r="B102" i="4"/>
  <c r="C102" i="4"/>
  <c r="D102" i="4"/>
  <c r="E102" i="4"/>
  <c r="C103" i="4"/>
  <c r="D103" i="4"/>
  <c r="E103" i="4"/>
  <c r="E104" i="1"/>
  <c r="D50" i="1"/>
  <c r="B34" i="1"/>
  <c r="E34" i="1" s="1"/>
  <c r="B35" i="1"/>
  <c r="B36" i="1"/>
  <c r="B37" i="1"/>
  <c r="B38" i="1"/>
  <c r="B40" i="1"/>
  <c r="B41" i="1"/>
  <c r="B42" i="1"/>
  <c r="B43" i="1"/>
  <c r="B44" i="1"/>
  <c r="B45" i="1"/>
  <c r="E45" i="1" s="1"/>
  <c r="B48" i="1"/>
  <c r="B49" i="1"/>
  <c r="B39" i="1"/>
  <c r="B47" i="1"/>
  <c r="E47" i="1" s="1"/>
  <c r="B51" i="1"/>
  <c r="E51" i="1" s="1"/>
  <c r="C91" i="1" s="1"/>
  <c r="E60" i="1"/>
  <c r="E70" i="1" s="1"/>
  <c r="C92" i="1" s="1"/>
  <c r="E63" i="1"/>
  <c r="E64" i="1"/>
  <c r="E65" i="1"/>
  <c r="E66" i="1"/>
  <c r="E67" i="1"/>
  <c r="E68" i="1"/>
  <c r="B75" i="1"/>
  <c r="D75" i="1" s="1"/>
  <c r="D85" i="1" s="1"/>
  <c r="B76" i="1"/>
  <c r="F76" i="1" s="1"/>
  <c r="D76" i="1"/>
  <c r="D77" i="1"/>
  <c r="B78" i="1"/>
  <c r="D78" i="1"/>
  <c r="B79" i="1"/>
  <c r="D79" i="1"/>
  <c r="B80" i="1"/>
  <c r="D80" i="1"/>
  <c r="B81" i="1"/>
  <c r="F81" i="1" s="1"/>
  <c r="D81" i="1"/>
  <c r="B82" i="1"/>
  <c r="D82" i="1"/>
  <c r="B83" i="1"/>
  <c r="D83" i="1"/>
  <c r="D84" i="1"/>
  <c r="F75" i="1"/>
  <c r="F77" i="1"/>
  <c r="F78" i="1"/>
  <c r="F79" i="1"/>
  <c r="F80" i="1"/>
  <c r="F82" i="1"/>
  <c r="F83" i="1"/>
  <c r="F84" i="1"/>
  <c r="E103" i="1"/>
  <c r="E102" i="1"/>
  <c r="E101" i="1"/>
  <c r="D104" i="1"/>
  <c r="D103" i="1"/>
  <c r="D102" i="1"/>
  <c r="D101" i="1"/>
  <c r="C104" i="1"/>
  <c r="C103" i="1"/>
  <c r="C102" i="1"/>
  <c r="C101" i="1"/>
  <c r="B104" i="1"/>
  <c r="B103" i="1"/>
  <c r="B102" i="1"/>
  <c r="B101" i="1"/>
  <c r="E49" i="1"/>
  <c r="E46" i="1"/>
  <c r="E42" i="1"/>
  <c r="E40" i="1"/>
  <c r="D38" i="1"/>
  <c r="E38" i="1"/>
  <c r="D37" i="1"/>
  <c r="E37" i="1"/>
  <c r="D36" i="1"/>
  <c r="D35" i="1"/>
  <c r="D34" i="1"/>
  <c r="A89" i="1"/>
  <c r="E29" i="1"/>
  <c r="D29" i="1"/>
  <c r="E48" i="1"/>
  <c r="E44" i="1"/>
  <c r="E43" i="1"/>
  <c r="E41" i="1"/>
  <c r="E39" i="1"/>
  <c r="E36" i="1"/>
  <c r="E35" i="1"/>
  <c r="L31" i="6" l="1"/>
  <c r="N31" i="6" s="1"/>
  <c r="L35" i="6"/>
  <c r="N35" i="6" s="1"/>
  <c r="L34" i="6"/>
  <c r="N34" i="6" s="1"/>
  <c r="L33" i="6"/>
  <c r="N33" i="6" s="1"/>
  <c r="L36" i="6"/>
  <c r="N36" i="6" s="1"/>
  <c r="L32" i="6"/>
  <c r="N32" i="6" s="1"/>
  <c r="Z6" i="7"/>
  <c r="AA6" i="7"/>
  <c r="Y29" i="5"/>
  <c r="F56" i="6"/>
  <c r="I54" i="6"/>
  <c r="Q29" i="5"/>
  <c r="AH30" i="5"/>
  <c r="E110" i="4"/>
  <c r="C92" i="4"/>
  <c r="E111" i="4" s="1"/>
  <c r="E109" i="4"/>
  <c r="C110" i="4"/>
  <c r="C108" i="4"/>
  <c r="C90" i="4"/>
  <c r="F82" i="4"/>
  <c r="F85" i="1"/>
  <c r="C94" i="1" s="1"/>
  <c r="F86" i="1"/>
  <c r="C93" i="1"/>
  <c r="B50" i="1"/>
  <c r="E50" i="1" s="1"/>
  <c r="I56" i="6" l="1"/>
  <c r="I58" i="6" s="1"/>
  <c r="G56" i="6"/>
  <c r="G58" i="6" s="1"/>
  <c r="AA28" i="5"/>
  <c r="AG28" i="5" s="1"/>
  <c r="AH28" i="5" s="1"/>
  <c r="C18" i="5" s="1"/>
  <c r="AA29" i="5"/>
  <c r="C109" i="4"/>
  <c r="C112" i="4"/>
  <c r="D108" i="4"/>
  <c r="D109" i="4"/>
  <c r="D110" i="4"/>
  <c r="D111" i="4"/>
  <c r="D112" i="4"/>
  <c r="B108" i="4"/>
  <c r="B111" i="4"/>
  <c r="E112" i="4"/>
  <c r="B109" i="4"/>
  <c r="B110" i="4"/>
  <c r="B112" i="4"/>
  <c r="C111" i="4"/>
  <c r="E108" i="4"/>
  <c r="C90" i="1"/>
  <c r="C95" i="1" s="1"/>
  <c r="E52" i="1"/>
  <c r="L25" i="6" l="1"/>
  <c r="L37" i="6"/>
  <c r="N37" i="6" s="1"/>
  <c r="AG29" i="5"/>
  <c r="AH29" i="5" s="1"/>
  <c r="C19" i="5" s="1"/>
  <c r="D24" i="2" s="1"/>
  <c r="G24" i="2" s="1"/>
  <c r="F31" i="2" s="1"/>
  <c r="G18" i="5"/>
  <c r="G19" i="5"/>
  <c r="G17" i="5"/>
  <c r="E112" i="1"/>
  <c r="E111" i="1"/>
  <c r="E109" i="1"/>
  <c r="D111" i="1"/>
  <c r="D109" i="1"/>
  <c r="C111" i="1"/>
  <c r="C109" i="1"/>
  <c r="B111" i="1"/>
  <c r="B109" i="1"/>
  <c r="D110" i="1"/>
  <c r="B110" i="1"/>
  <c r="B112" i="1"/>
  <c r="C110" i="1"/>
  <c r="C112" i="1"/>
  <c r="E110" i="1"/>
  <c r="D112" i="1"/>
  <c r="F36" i="2" l="1"/>
  <c r="F32" i="2"/>
  <c r="F44" i="2" s="1"/>
  <c r="F40" i="2"/>
  <c r="H17" i="5"/>
  <c r="H18" i="5"/>
  <c r="H19" i="5"/>
  <c r="G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tc={B3404646-EB52-48AD-AF3A-1F9320A370EE}</author>
  </authors>
  <commentList>
    <comment ref="C32" authorId="0" shapeId="0" xr:uid="{B3404646-EB52-48AD-AF3A-1F9320A370EE}">
      <text>
        <t>[Threaded comment]
Your version of Excel allows you to read this threaded comment; however, any edits to it will get removed if the file is opened in a newer version of Excel. Learn more: https://go.microsoft.com/fwlink/?linkid=870924
Comment:
    These costs start with the Franklin Co NY 2020 Custom Rates and use interpolatation to estimate costs for field ops not in the Franklin Co rates by using relative differences from Ohio State custom rates.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tc={395591A6-3A90-4D73-A9C4-413FF8A8AA93}</author>
  </authors>
  <commentList>
    <comment ref="B23" authorId="0" shapeId="0" xr:uid="{395591A6-3A90-4D73-A9C4-413FF8A8AA93}">
      <text>
        <t>[Threaded comment]
Your version of Excel allows you to read this threaded comment; however, any edits to it will get removed if the file is opened in a newer version of Excel. Learn more: https://go.microsoft.com/fwlink/?linkid=870924
Comment:
    These costs start with the Franklin Co NY 2020 Custom Rates and use interpolatation to estimate costs for field ops not in the Franklin Co rates by using relative differences from Ohio State custom rates.</t>
      </text>
    </comment>
  </commentList>
</comments>
</file>

<file path=xl/sharedStrings.xml><?xml version="1.0" encoding="utf-8"?>
<sst xmlns="http://schemas.openxmlformats.org/spreadsheetml/2006/main" count="818" uniqueCount="499">
  <si>
    <t>Minimial</t>
  </si>
  <si>
    <t>Seed Cover Crop - Rye</t>
  </si>
  <si>
    <t>Custom Seeded</t>
  </si>
  <si>
    <t>Lime</t>
  </si>
  <si>
    <t>Custom Application</t>
  </si>
  <si>
    <t>Plowing</t>
  </si>
  <si>
    <t>50 HP Diesel</t>
  </si>
  <si>
    <t>3-16" Moldboard</t>
  </si>
  <si>
    <t>Harrowing (2X)</t>
  </si>
  <si>
    <t>10' Disk Harrow</t>
  </si>
  <si>
    <t>Fertilization (Broadcast)</t>
  </si>
  <si>
    <t>25 HP Gas</t>
  </si>
  <si>
    <t>Spinspreader</t>
  </si>
  <si>
    <t>Transplanting</t>
  </si>
  <si>
    <t>Herbicide Application (1X)</t>
  </si>
  <si>
    <t>Harvest</t>
  </si>
  <si>
    <t>Picking Labor</t>
  </si>
  <si>
    <t>Harvest (hauling)</t>
  </si>
  <si>
    <t>25 HP Tractor</t>
  </si>
  <si>
    <t>Wagons</t>
  </si>
  <si>
    <t>Harrow (for Rye Seeding)</t>
  </si>
  <si>
    <t>Operation</t>
  </si>
  <si>
    <t>Labor Hours/Acre</t>
  </si>
  <si>
    <t>Soil Sample</t>
  </si>
  <si>
    <t>Harrowing</t>
  </si>
  <si>
    <t>Fertilization</t>
  </si>
  <si>
    <t>Herbicide Application</t>
  </si>
  <si>
    <t>Harvest-Picking</t>
  </si>
  <si>
    <t>Harvest-Hauling</t>
  </si>
  <si>
    <t>Expense Item</t>
  </si>
  <si>
    <t>Units</t>
  </si>
  <si>
    <t>Quantity</t>
  </si>
  <si>
    <t>Price/Unit</t>
  </si>
  <si>
    <t>Soil Test</t>
  </si>
  <si>
    <t>Lime (custom)</t>
  </si>
  <si>
    <t>Rye (custom)</t>
  </si>
  <si>
    <t>Fertilizer (will vary with soil test recommendations)</t>
  </si>
  <si>
    <t>Pesticides:</t>
  </si>
  <si>
    <t xml:space="preserve">      Treflan (1X)</t>
  </si>
  <si>
    <t>Containers:</t>
  </si>
  <si>
    <t>Total</t>
  </si>
  <si>
    <t>Machine (Name and Size)</t>
  </si>
  <si>
    <t>Per Acre</t>
  </si>
  <si>
    <t>Ownership Cost</t>
  </si>
  <si>
    <t>50 HP Diesel Tractor</t>
  </si>
  <si>
    <t>25 HP Gas Tractor</t>
  </si>
  <si>
    <t>Plow 3-16"</t>
  </si>
  <si>
    <t>Disk Harrow - 10'</t>
  </si>
  <si>
    <t>Boom Sprayer 21'</t>
  </si>
  <si>
    <t>Cultivators</t>
  </si>
  <si>
    <t>Wagon(s)/Trailers</t>
  </si>
  <si>
    <t>Total Operating and Ownership Cost Per Acre</t>
  </si>
  <si>
    <t>Machinery: Operating Costs</t>
  </si>
  <si>
    <t>Total Production Costs</t>
  </si>
  <si>
    <t>Labor</t>
  </si>
  <si>
    <t>Machine</t>
  </si>
  <si>
    <t>Crop</t>
  </si>
  <si>
    <t>Hours/Acre</t>
  </si>
  <si>
    <t xml:space="preserve">Labor </t>
  </si>
  <si>
    <t>Cost/Acre</t>
  </si>
  <si>
    <t>Cost/Hour</t>
  </si>
  <si>
    <t>Machinery Involved &amp; Other Comments</t>
  </si>
  <si>
    <t>Skilled</t>
  </si>
  <si>
    <t>Unskilled</t>
  </si>
  <si>
    <t xml:space="preserve">Insecticide Application </t>
  </si>
  <si>
    <t>Total Labor Cost</t>
  </si>
  <si>
    <t>Total Skilled labor</t>
  </si>
  <si>
    <t>Total Unskilled labor</t>
  </si>
  <si>
    <t>Total Cost</t>
  </si>
  <si>
    <t>Total Hours</t>
  </si>
  <si>
    <t>of Item</t>
  </si>
  <si>
    <t>tons</t>
  </si>
  <si>
    <t>gallons</t>
  </si>
  <si>
    <t>pounds</t>
  </si>
  <si>
    <t>Skilled or Unskilled</t>
  </si>
  <si>
    <t>Table 4:  Machine Costs</t>
  </si>
  <si>
    <t>Table 1:  Description of Operations</t>
  </si>
  <si>
    <t>Table 2:  Labor Summary</t>
  </si>
  <si>
    <t>Table 3:  Cash Expenses Per Acre (other than labor)</t>
  </si>
  <si>
    <t xml:space="preserve">Hours Used </t>
  </si>
  <si>
    <t>Table 5:  Summary of Process Budget Costs</t>
  </si>
  <si>
    <t>Table 6:  Gross Revenues</t>
  </si>
  <si>
    <t>Production costs do not include charges for land or management.</t>
  </si>
  <si>
    <t>Cash Expenses:</t>
  </si>
  <si>
    <t xml:space="preserve">                 Ownership Costs</t>
  </si>
  <si>
    <t xml:space="preserve">Yield </t>
  </si>
  <si>
    <t>Table 7:  Net Revenues</t>
  </si>
  <si>
    <t>Assumed yield for the original budget</t>
  </si>
  <si>
    <t>Harvest and packing cost adjustment per unit</t>
  </si>
  <si>
    <t xml:space="preserve">Per Hour  </t>
  </si>
  <si>
    <t xml:space="preserve">Per Acre  </t>
  </si>
  <si>
    <t xml:space="preserve">  Operating Cost</t>
  </si>
  <si>
    <t>1 to 15 Acres</t>
  </si>
  <si>
    <t xml:space="preserve">  LAND PREPARATION:</t>
  </si>
  <si>
    <t xml:space="preserve">    GROWING SEASON</t>
  </si>
  <si>
    <t>Transplanter</t>
  </si>
  <si>
    <t>21' Boom Sprayer</t>
  </si>
  <si>
    <t>Cultivation/Sidedress (1X)</t>
  </si>
  <si>
    <t>Cultivator/Fertilize</t>
  </si>
  <si>
    <t>Insecticide (Maggot) 1X</t>
  </si>
  <si>
    <t>Irrigation  (3X)</t>
  </si>
  <si>
    <t>Pump</t>
  </si>
  <si>
    <t>Cultivate/Sidedress</t>
  </si>
  <si>
    <t>Insecticide - Maggot</t>
  </si>
  <si>
    <t>Irrigation</t>
  </si>
  <si>
    <t xml:space="preserve"> </t>
  </si>
  <si>
    <t>each</t>
  </si>
  <si>
    <t xml:space="preserve">      Devrinol  50 DF</t>
  </si>
  <si>
    <t xml:space="preserve">      Dipel</t>
  </si>
  <si>
    <t>quarts</t>
  </si>
  <si>
    <t xml:space="preserve">      Ambush</t>
  </si>
  <si>
    <t xml:space="preserve">      Lorsban</t>
  </si>
  <si>
    <t>1 3/4 Bu. Boxes</t>
  </si>
  <si>
    <t>Plants (cell pack)</t>
  </si>
  <si>
    <t>Sidedresser</t>
  </si>
  <si>
    <t>Irrigation System</t>
  </si>
  <si>
    <t>Labor: Skilled @ $16.00/Hr.</t>
  </si>
  <si>
    <t xml:space="preserve">         Unskilled @ $9.00/Hr.</t>
  </si>
  <si>
    <t xml:space="preserve">       1.75 bu.  Units</t>
  </si>
  <si>
    <t>Price per Unit at Farm</t>
  </si>
  <si>
    <t>1.75 bu units</t>
  </si>
  <si>
    <t>Cabbage 1 Acre</t>
  </si>
  <si>
    <t>Scale</t>
  </si>
  <si>
    <t>Insecticide Application (4X)</t>
  </si>
  <si>
    <t xml:space="preserve">     HARVEST:</t>
  </si>
  <si>
    <t xml:space="preserve"> NEW ENGLAND VEGETABLE CROP BUDGETS- 2000</t>
  </si>
  <si>
    <t>University of Massachusetts Extension Vegetable Team</t>
  </si>
  <si>
    <t>This information assembled by Robert L. Christensen with additional assistance from John Howell and Frank Mangan of the University of Massachusetts and Mike Sciabarrasi and Otho Wells of the University of New Hampshire.</t>
  </si>
  <si>
    <t>budget (doz)</t>
  </si>
  <si>
    <t>5 doz. Crates</t>
  </si>
  <si>
    <t>Price per Crate at the Farm</t>
  </si>
  <si>
    <t>(5 doz. Crates)</t>
  </si>
  <si>
    <t xml:space="preserve">        Unskilled at $9.00/hr. X</t>
  </si>
  <si>
    <t>Labor: Skilled at $16.00/hr. X  9.17</t>
  </si>
  <si>
    <t>Farm Truck (used)</t>
  </si>
  <si>
    <t>Harvesting Sacks</t>
  </si>
  <si>
    <t xml:space="preserve">      Lannate</t>
  </si>
  <si>
    <t xml:space="preserve">      Ambush 2E</t>
  </si>
  <si>
    <t xml:space="preserve">      Dual II Magnum</t>
  </si>
  <si>
    <t xml:space="preserve">      AATREX</t>
  </si>
  <si>
    <t>lbs.</t>
  </si>
  <si>
    <t>Seed</t>
  </si>
  <si>
    <t>Irrigation Operations</t>
  </si>
  <si>
    <t>Irrigation Setup/Takedown</t>
  </si>
  <si>
    <t>Insecticide Application</t>
  </si>
  <si>
    <t>Cultivate and Sidedress</t>
  </si>
  <si>
    <t>Planting with Fertilizer</t>
  </si>
  <si>
    <t>Wagons, Tractors</t>
  </si>
  <si>
    <t>Labor, Trucks</t>
  </si>
  <si>
    <t>Trucks/Wagons</t>
  </si>
  <si>
    <t>Picking, tractors, trailers, wagons</t>
  </si>
  <si>
    <t xml:space="preserve">Harvest   </t>
  </si>
  <si>
    <t xml:space="preserve">   HARVEST:</t>
  </si>
  <si>
    <t>Pump and Pipes</t>
  </si>
  <si>
    <t>150 HP Pump</t>
  </si>
  <si>
    <t>25 HP Gasoline</t>
  </si>
  <si>
    <t>Portable Irrig. Setup/Down</t>
  </si>
  <si>
    <t>Insecticide Applications (6X)</t>
  </si>
  <si>
    <t>2-Row Cultivator</t>
  </si>
  <si>
    <t>Cultivate and Sidedress (1X)</t>
  </si>
  <si>
    <t xml:space="preserve">  GROWING SEASON:</t>
  </si>
  <si>
    <t xml:space="preserve">2-Row Planter </t>
  </si>
  <si>
    <t>Minimal</t>
  </si>
  <si>
    <t>SEEDBED PREPARATION:</t>
  </si>
  <si>
    <t>15 to 30 Acres</t>
  </si>
  <si>
    <t>Description</t>
  </si>
  <si>
    <t>Sweet Corn - 1 Acre</t>
  </si>
  <si>
    <t>bean</t>
  </si>
  <si>
    <t>beet</t>
  </si>
  <si>
    <t>cabbage</t>
  </si>
  <si>
    <t>field corn</t>
  </si>
  <si>
    <t>clov/barley</t>
  </si>
  <si>
    <t>sweet corn</t>
  </si>
  <si>
    <t>Avg Annual</t>
  </si>
  <si>
    <t>Difference</t>
  </si>
  <si>
    <t>Net Revenue per Acre</t>
  </si>
  <si>
    <t>Rotation 1</t>
  </si>
  <si>
    <t>Rotation 2</t>
  </si>
  <si>
    <t>Seeding Rate (lbs/ac)</t>
  </si>
  <si>
    <t>Spray Kill</t>
  </si>
  <si>
    <t>Type of Cover</t>
  </si>
  <si>
    <t>Broadcast or Aerial</t>
  </si>
  <si>
    <t>Drill</t>
  </si>
  <si>
    <t>Seed Cost</t>
  </si>
  <si>
    <t>Planting Method</t>
  </si>
  <si>
    <t>Planting Cost/Acre</t>
  </si>
  <si>
    <t>Spray Kill?</t>
  </si>
  <si>
    <t>Add'l Passes?</t>
  </si>
  <si>
    <t>Passes accounted for?</t>
  </si>
  <si>
    <t>Product</t>
  </si>
  <si>
    <t>Units/acre</t>
  </si>
  <si>
    <t>Cost/unit</t>
  </si>
  <si>
    <t>Cover Crop Changes</t>
  </si>
  <si>
    <t>Winter Rye</t>
  </si>
  <si>
    <t>Broadcast</t>
  </si>
  <si>
    <t>Yes</t>
  </si>
  <si>
    <t>Glyphosate</t>
  </si>
  <si>
    <t>Acres</t>
  </si>
  <si>
    <t>Cover Crop Added?</t>
  </si>
  <si>
    <t>Type of Seed</t>
  </si>
  <si>
    <t>Seeding Rate (lbs/acre)</t>
  </si>
  <si>
    <t>Seed Cost ($/acre)</t>
  </si>
  <si>
    <t>Planting cost</t>
  </si>
  <si>
    <t>Spray Kill? (Y/N)</t>
  </si>
  <si>
    <t>Cost for spray kill</t>
  </si>
  <si>
    <t>Are there add'l tillage passes due to cover crop?</t>
  </si>
  <si>
    <t>If extra passes, have they been accounted for under "Tillage Changes"?</t>
  </si>
  <si>
    <t>Select add'l tillage type</t>
  </si>
  <si>
    <t># of additional passes</t>
  </si>
  <si>
    <t>Cost of add'l tillage $/ac</t>
  </si>
  <si>
    <t>Cost per Acre</t>
  </si>
  <si>
    <t>Cover Crop: Total Cost</t>
  </si>
  <si>
    <t>Oats/Barley</t>
  </si>
  <si>
    <t>No</t>
  </si>
  <si>
    <t>Sprayer Cost</t>
  </si>
  <si>
    <t>102 Clover Starter Mix</t>
  </si>
  <si>
    <t>Aerial</t>
  </si>
  <si>
    <t>Subtotal for Spray Kill</t>
  </si>
  <si>
    <t>Tillage Operation</t>
  </si>
  <si>
    <t>$/ac</t>
  </si>
  <si>
    <t>Moldboard plow</t>
  </si>
  <si>
    <t>Chisel plow</t>
  </si>
  <si>
    <t>Springtooth harrow</t>
  </si>
  <si>
    <t>Cultivating</t>
  </si>
  <si>
    <t xml:space="preserve">Spraying </t>
  </si>
  <si>
    <t>Corn planting</t>
  </si>
  <si>
    <t>No-till corn planting</t>
  </si>
  <si>
    <t>Small grain no-till</t>
  </si>
  <si>
    <t>Seeding (drill or cultipacker)</t>
  </si>
  <si>
    <t>Broadcast seeding</t>
  </si>
  <si>
    <t>Spreading fertilizer</t>
  </si>
  <si>
    <t>Winter rye cover crop cost ($/ac)</t>
  </si>
  <si>
    <t>Vetch cover crop cost ($/ac)</t>
  </si>
  <si>
    <t>Vetch</t>
  </si>
  <si>
    <t>Planting and Termination</t>
  </si>
  <si>
    <t>Seed Price per Lb.</t>
  </si>
  <si>
    <t>LC</t>
  </si>
  <si>
    <t>LCF</t>
  </si>
  <si>
    <t>AC</t>
  </si>
  <si>
    <t>BC</t>
  </si>
  <si>
    <t>BCF</t>
  </si>
  <si>
    <t>PL</t>
  </si>
  <si>
    <t>DM</t>
  </si>
  <si>
    <t>Org C</t>
  </si>
  <si>
    <t>TKN</t>
  </si>
  <si>
    <t>Compost</t>
  </si>
  <si>
    <t>Poultry Litter</t>
  </si>
  <si>
    <t>Fertilizer</t>
  </si>
  <si>
    <t>Rate of Organic Amendments (kg/ha)</t>
  </si>
  <si>
    <t>Control</t>
  </si>
  <si>
    <t>F</t>
  </si>
  <si>
    <t>Spreading Cost $/ton</t>
  </si>
  <si>
    <t>Sweet Corn</t>
  </si>
  <si>
    <t>KG N/ha</t>
  </si>
  <si>
    <t>Lbs N/acre</t>
  </si>
  <si>
    <t>DAP</t>
  </si>
  <si>
    <t>Ammonium Sulfate</t>
  </si>
  <si>
    <t>Urea</t>
  </si>
  <si>
    <t>Potash</t>
  </si>
  <si>
    <t>18-46-0</t>
  </si>
  <si>
    <t>21-0-0-24</t>
  </si>
  <si>
    <t>34-0-0</t>
  </si>
  <si>
    <t>0-0-60</t>
  </si>
  <si>
    <t>$/ton</t>
  </si>
  <si>
    <t>$/lb</t>
  </si>
  <si>
    <t>Amounts based on P constraint</t>
  </si>
  <si>
    <t>N still needed</t>
  </si>
  <si>
    <t>Cost ($)</t>
  </si>
  <si>
    <t>Amount applied (lbs)</t>
  </si>
  <si>
    <t>N applied (lbs)</t>
  </si>
  <si>
    <t>Disk harrow</t>
  </si>
  <si>
    <t>Strip till</t>
  </si>
  <si>
    <t>Subsoiling</t>
  </si>
  <si>
    <t>Vertical tillage</t>
  </si>
  <si>
    <t>Tillage Changes</t>
  </si>
  <si>
    <t>Tillage Changes?</t>
  </si>
  <si>
    <t>Spring Moldboard</t>
  </si>
  <si>
    <t>Fall Moldboard</t>
  </si>
  <si>
    <t>MoldB. Cost</t>
  </si>
  <si>
    <t>Spring Strip Till</t>
  </si>
  <si>
    <t>Fall Strip Till</t>
  </si>
  <si>
    <t>Strip Till Cost</t>
  </si>
  <si>
    <t>Spring Subsoil</t>
  </si>
  <si>
    <t>Fall Subsoil</t>
  </si>
  <si>
    <t>Subsoil Cost</t>
  </si>
  <si>
    <t>Spring Chisel</t>
  </si>
  <si>
    <t>Fall Chisel</t>
  </si>
  <si>
    <t>Chisel Cost</t>
  </si>
  <si>
    <t>Spring Disc</t>
  </si>
  <si>
    <t>Fall Disc</t>
  </si>
  <si>
    <t>Disc Cost</t>
  </si>
  <si>
    <t>Cultivate</t>
  </si>
  <si>
    <t>Cult. Cost</t>
  </si>
  <si>
    <t>Extra cost for NT seeding</t>
  </si>
  <si>
    <t>Cost ($/acre)</t>
  </si>
  <si>
    <t>Cost for Tillage Changes ($/acre)</t>
  </si>
  <si>
    <t>Tillage Changes: Total Cost ($)</t>
  </si>
  <si>
    <t>Zone Tillage</t>
  </si>
  <si>
    <t>Zone Tillage Cost</t>
  </si>
  <si>
    <t>Strip till/Zone till</t>
  </si>
  <si>
    <t>Full Tillage (PT)</t>
  </si>
  <si>
    <t>Zone Tillage (ZT)</t>
  </si>
  <si>
    <t>No Tillage (NT)</t>
  </si>
  <si>
    <t>PT</t>
  </si>
  <si>
    <t>ZT</t>
  </si>
  <si>
    <t>NT</t>
  </si>
  <si>
    <t xml:space="preserve">Rye </t>
  </si>
  <si>
    <t>None</t>
  </si>
  <si>
    <t>Cover Crop</t>
  </si>
  <si>
    <t>Tillage</t>
  </si>
  <si>
    <t>Plow-till (PT) ($/ac)</t>
  </si>
  <si>
    <t>Zone-till (ZT) ($/ac)</t>
  </si>
  <si>
    <t>No-till (NT) ($/ac)</t>
  </si>
  <si>
    <t>Amendment and Fert Costs</t>
  </si>
  <si>
    <t>N Requirement</t>
  </si>
  <si>
    <t>Calculating Fertilizer Costs ($/ac)</t>
  </si>
  <si>
    <t>Avg Cost/acre/year</t>
  </si>
  <si>
    <t>Rate of Organic Amendments (Lbs/acre)</t>
  </si>
  <si>
    <t>Costs ($/ac/yr)</t>
  </si>
  <si>
    <t>CORN SILAGE PRODUCTION BUDGET- 2022</t>
  </si>
  <si>
    <t>Conservation Tillage Practices: N-Source - NH3</t>
  </si>
  <si>
    <t>Reflects 2000 acres, Conservation Tillage Corn/No-Till RR Soybeans</t>
  </si>
  <si>
    <t>Updated:</t>
  </si>
  <si>
    <t>9/24/2021</t>
  </si>
  <si>
    <t>ITEM</t>
  </si>
  <si>
    <t>EXPLANATION</t>
  </si>
  <si>
    <t>YOUR</t>
  </si>
  <si>
    <t>PRICE PER</t>
  </si>
  <si>
    <r>
      <t>YIELD (tons/A)</t>
    </r>
    <r>
      <rPr>
        <b/>
        <vertAlign val="superscript"/>
        <sz val="10"/>
        <rFont val="Arial"/>
        <family val="2"/>
      </rPr>
      <t>1</t>
    </r>
  </si>
  <si>
    <t>PROD.</t>
  </si>
  <si>
    <t>UNIT</t>
  </si>
  <si>
    <t>(@ 65% Moisture)</t>
  </si>
  <si>
    <t>BUDGET</t>
  </si>
  <si>
    <t>NUMBERS</t>
  </si>
  <si>
    <t>RECEIPTS</t>
  </si>
  <si>
    <r>
      <t>Corn Silage</t>
    </r>
    <r>
      <rPr>
        <vertAlign val="superscript"/>
        <sz val="10"/>
        <rFont val="Arial"/>
        <family val="2"/>
      </rPr>
      <t>1</t>
    </r>
  </si>
  <si>
    <t>/ton</t>
  </si>
  <si>
    <r>
      <t>ARC/PLC Payment</t>
    </r>
    <r>
      <rPr>
        <vertAlign val="superscript"/>
        <sz val="10"/>
        <rFont val="Arial"/>
        <family val="2"/>
      </rPr>
      <t>2</t>
    </r>
  </si>
  <si>
    <t>Crop Insurance Indemnity</t>
  </si>
  <si>
    <t>Ad Hoc Payment</t>
  </si>
  <si>
    <t>Grower or Market Premium</t>
  </si>
  <si>
    <t>TOTAL RECEIPTS</t>
  </si>
  <si>
    <t>VARIABLE  COSTS</t>
  </si>
  <si>
    <r>
      <t>Seed (kernels)</t>
    </r>
    <r>
      <rPr>
        <vertAlign val="superscript"/>
        <sz val="10"/>
        <rFont val="Arial"/>
        <family val="2"/>
      </rPr>
      <t>3</t>
    </r>
  </si>
  <si>
    <t>/1000</t>
  </si>
  <si>
    <t>Seed Cost Per Bag</t>
  </si>
  <si>
    <t>/bag</t>
  </si>
  <si>
    <r>
      <t>Fertilizer</t>
    </r>
    <r>
      <rPr>
        <vertAlign val="superscript"/>
        <sz val="10"/>
        <rFont val="Arial"/>
        <family val="2"/>
      </rPr>
      <t>4</t>
    </r>
  </si>
  <si>
    <t>Starter Fertilizer 10-20-20</t>
  </si>
  <si>
    <t>Top dress 19-19-19</t>
  </si>
  <si>
    <t>N (lbs.)</t>
  </si>
  <si>
    <t>/lb</t>
  </si>
  <si>
    <r>
      <t>P</t>
    </r>
    <r>
      <rPr>
        <vertAlign val="subscript"/>
        <sz val="10"/>
        <rFont val="Arial"/>
        <family val="2"/>
      </rPr>
      <t>2</t>
    </r>
    <r>
      <rPr>
        <sz val="10"/>
        <rFont val="Arial"/>
        <family val="2"/>
      </rPr>
      <t>O</t>
    </r>
    <r>
      <rPr>
        <vertAlign val="subscript"/>
        <sz val="10"/>
        <rFont val="Arial"/>
        <family val="2"/>
      </rPr>
      <t>5</t>
    </r>
    <r>
      <rPr>
        <sz val="10"/>
        <rFont val="Arial"/>
        <family val="2"/>
      </rPr>
      <t>(lbs)</t>
    </r>
  </si>
  <si>
    <r>
      <t>K</t>
    </r>
    <r>
      <rPr>
        <vertAlign val="subscript"/>
        <sz val="10"/>
        <rFont val="Arial"/>
        <family val="2"/>
      </rPr>
      <t>2</t>
    </r>
    <r>
      <rPr>
        <sz val="10"/>
        <rFont val="Arial"/>
        <family val="2"/>
      </rPr>
      <t>O(lbs)</t>
    </r>
  </si>
  <si>
    <t>Lime(ton)</t>
  </si>
  <si>
    <r>
      <t>Chemicals</t>
    </r>
    <r>
      <rPr>
        <vertAlign val="superscript"/>
        <sz val="10"/>
        <rFont val="Arial"/>
        <family val="2"/>
      </rPr>
      <t>5</t>
    </r>
  </si>
  <si>
    <t>Herbicide</t>
  </si>
  <si>
    <t>/gal</t>
  </si>
  <si>
    <t>Fungicide</t>
  </si>
  <si>
    <t>Insecticide</t>
  </si>
  <si>
    <r>
      <t>Hauling</t>
    </r>
    <r>
      <rPr>
        <vertAlign val="superscript"/>
        <sz val="10"/>
        <rFont val="Arial"/>
        <family val="2"/>
      </rPr>
      <t>6</t>
    </r>
  </si>
  <si>
    <t>/per ton</t>
  </si>
  <si>
    <t>miles</t>
  </si>
  <si>
    <r>
      <t>Fuel, Oil, Grease</t>
    </r>
    <r>
      <rPr>
        <vertAlign val="superscript"/>
        <sz val="10"/>
        <rFont val="Arial"/>
        <family val="2"/>
      </rPr>
      <t>7</t>
    </r>
  </si>
  <si>
    <r>
      <t>Repairs</t>
    </r>
    <r>
      <rPr>
        <vertAlign val="superscript"/>
        <sz val="10"/>
        <rFont val="Arial"/>
        <family val="2"/>
      </rPr>
      <t>8</t>
    </r>
  </si>
  <si>
    <r>
      <t>Crop Insurance</t>
    </r>
    <r>
      <rPr>
        <vertAlign val="superscript"/>
        <sz val="10"/>
        <rFont val="Arial"/>
        <family val="2"/>
      </rPr>
      <t>9</t>
    </r>
  </si>
  <si>
    <r>
      <t>Miscellaneous</t>
    </r>
    <r>
      <rPr>
        <vertAlign val="superscript"/>
        <sz val="10"/>
        <rFont val="Arial"/>
        <family val="2"/>
      </rPr>
      <t>10</t>
    </r>
  </si>
  <si>
    <r>
      <t>Hired Custom Work</t>
    </r>
    <r>
      <rPr>
        <vertAlign val="superscript"/>
        <sz val="10"/>
        <rFont val="Arial"/>
        <family val="2"/>
      </rPr>
      <t>11</t>
    </r>
  </si>
  <si>
    <r>
      <t>Hired Labor</t>
    </r>
    <r>
      <rPr>
        <vertAlign val="superscript"/>
        <sz val="10"/>
        <rFont val="Arial"/>
        <family val="2"/>
      </rPr>
      <t>12</t>
    </r>
  </si>
  <si>
    <r>
      <t>Int. on Oper. Cap.</t>
    </r>
    <r>
      <rPr>
        <vertAlign val="superscript"/>
        <sz val="10"/>
        <rFont val="Arial"/>
        <family val="2"/>
      </rPr>
      <t>13</t>
    </r>
  </si>
  <si>
    <t xml:space="preserve">mo. </t>
  </si>
  <si>
    <t>TOTAL VARIABLE COSTS</t>
  </si>
  <si>
    <t>-Per Acre</t>
  </si>
  <si>
    <t>-Per Ton</t>
  </si>
  <si>
    <t>FIXED COSTS</t>
  </si>
  <si>
    <r>
      <t>Labor Charge</t>
    </r>
    <r>
      <rPr>
        <vertAlign val="superscript"/>
        <sz val="10"/>
        <rFont val="Arial"/>
        <family val="2"/>
      </rPr>
      <t>14</t>
    </r>
  </si>
  <si>
    <t>hours</t>
  </si>
  <si>
    <t>/hr</t>
  </si>
  <si>
    <r>
      <t>Management Charge</t>
    </r>
    <r>
      <rPr>
        <vertAlign val="superscript"/>
        <sz val="10"/>
        <rFont val="Arial"/>
        <family val="2"/>
      </rPr>
      <t>15</t>
    </r>
  </si>
  <si>
    <t>of gross revenue</t>
  </si>
  <si>
    <r>
      <t>Mach. And Equip. Charge</t>
    </r>
    <r>
      <rPr>
        <vertAlign val="superscript"/>
        <sz val="10"/>
        <rFont val="Arial"/>
        <family val="2"/>
      </rPr>
      <t>16</t>
    </r>
  </si>
  <si>
    <r>
      <t>Land Charge</t>
    </r>
    <r>
      <rPr>
        <vertAlign val="superscript"/>
        <sz val="10"/>
        <rFont val="Arial"/>
        <family val="2"/>
      </rPr>
      <t>17</t>
    </r>
  </si>
  <si>
    <t>Rent</t>
  </si>
  <si>
    <r>
      <t>Miscellaneous</t>
    </r>
    <r>
      <rPr>
        <vertAlign val="superscript"/>
        <sz val="10"/>
        <rFont val="Arial"/>
        <family val="2"/>
      </rPr>
      <t>18</t>
    </r>
  </si>
  <si>
    <t>TOTAL FIXED COSTS</t>
  </si>
  <si>
    <t>TOTAL COSTS</t>
  </si>
  <si>
    <r>
      <t>RETURN ABOVE VARIABLE COSTS</t>
    </r>
    <r>
      <rPr>
        <b/>
        <vertAlign val="superscript"/>
        <sz val="10"/>
        <rFont val="Arial"/>
        <family val="2"/>
      </rPr>
      <t>19</t>
    </r>
  </si>
  <si>
    <t>RETURN ABOVE VARIABLE AND LAND COSTS</t>
  </si>
  <si>
    <t>RETURN ABOVE TOTAL COSTS</t>
  </si>
  <si>
    <t>RETURN TO LAND</t>
  </si>
  <si>
    <t>RETURN TO LABOR AND MANAGEMENT</t>
  </si>
  <si>
    <t>RETURN TO LAND, LABOR AND MANAGEMENT</t>
  </si>
  <si>
    <t xml:space="preserve">Values highlighted in gold may be changed to assist in computing "Your Budget" Column using macros embedded within  </t>
  </si>
  <si>
    <t>the spreadsheet.</t>
  </si>
  <si>
    <t>Values highlighted in light blue are cells embedded with macros and will be calculated for the user based on data entered.</t>
  </si>
  <si>
    <t>These cells may be input manually, but macros will be overwritten!</t>
  </si>
  <si>
    <t>Values highlighted in gray are stand alone cells that require direct input from the user.</t>
  </si>
  <si>
    <t>Yield is based on author estimates for silage yields in Ohio.</t>
  </si>
  <si>
    <t>Price is based on up-to-date December Futures less 0.20 basis multiplied by 7.5 plus $5/ton handling charge.</t>
  </si>
  <si>
    <t>Commodity Program Payment estimates were calculated by using a 40 year trend estimate for Ohio commodity specific yields and the</t>
  </si>
  <si>
    <t xml:space="preserve">2021/2022 marketing year average price: USDA baseline: ARC-CO, ARC-IC &amp; PLC. </t>
  </si>
  <si>
    <t>Payments for corn, soybeans and wheat were weighted by the share of acres enrolled in ARC-CO, ARC-IC and PLC and then by the</t>
  </si>
  <si>
    <t>share of commodity specific base acres to the aggregate total. Both numbers were provided by the Farm Service Agency.</t>
  </si>
  <si>
    <t>Seed price based on traited seed corn, 80,000 kernels/bag.</t>
  </si>
  <si>
    <t xml:space="preserve"> Includes seed treatment at low level.</t>
  </si>
  <si>
    <t>Assumes maintenance application of fertilizer needed, corn-soybean rotation, 3.8 O.M., 20 CEC, and soil test</t>
  </si>
  <si>
    <t xml:space="preserve">values of 25 ppm P/A and 125 ppm K/A. Fertilizer prices vary over time and area. Check with local sources for current prices. </t>
  </si>
  <si>
    <t>Nutrients added through manure or other soil amendments will reduce the need for inorganic fertilizers.</t>
  </si>
  <si>
    <t xml:space="preserve">Fertilizer prices vary over time and by area.  Check with local sources for current prices. </t>
  </si>
  <si>
    <t>Assumes NH3(82-0-0):</t>
  </si>
  <si>
    <t>/ton     MAP(11-52-0):</t>
  </si>
  <si>
    <t>/ton     Potash(0-0-60):</t>
  </si>
  <si>
    <t>N cost includes cost of N-Serve.</t>
  </si>
  <si>
    <t>Based on use of: preplant Cinch ATZ plus Instigate, post Status plus glyphosate with ammonium sulfate (AMS).</t>
  </si>
  <si>
    <t>Hauling based on $2/ton to destination</t>
  </si>
  <si>
    <t>See 'machinery costs' tab for specific calculations.  Lubrication costs are assumed to be 10% of fuel costs</t>
  </si>
  <si>
    <t>See  'machinery costs' tab for specific calculations.</t>
  </si>
  <si>
    <t>Crop Insurance: Revenue Protection (with Trend Adjusted Yield Endorsement), Basic (without SCO), 75% coverage level.</t>
  </si>
  <si>
    <t xml:space="preserve">Includes marketing, farm insurance, dues and professional fees, supplies, utilities, soil tests, small tools, </t>
  </si>
  <si>
    <t>software/hardware, business use of vehicle, transport of supplies and equipment, etc.</t>
  </si>
  <si>
    <t>Includes hired custom operations for dry bulk fertilizer application and anhydrous ammonia (NH3) application</t>
  </si>
  <si>
    <t xml:space="preserve">Part or all of labor may be a variable cost if paid labor varies with acres farmed.  </t>
  </si>
  <si>
    <t>Labor is considered a fixed cost if labor costs do not change with acres farmed.</t>
  </si>
  <si>
    <t xml:space="preserve">Labor rate includes cash wages plus benefits. </t>
  </si>
  <si>
    <t>Interest on all variable costs, except drying and trucking.</t>
  </si>
  <si>
    <t>Labor hours: FINBIN, Labor rate: Ohio Farm Custom Rates</t>
  </si>
  <si>
    <t>Management Charge is calculated as 5% of total receipts.</t>
  </si>
  <si>
    <t xml:space="preserve">Machinery and Equipment Charge Reflects 2000 acres, conservation tillage corn/no-till RR soybean rotation. </t>
  </si>
  <si>
    <t>Average based on "Ohio Cropland Values and Cash Rents" factsheet found at: https://farmoffice.osu.edu</t>
  </si>
  <si>
    <t>Land charges vary throughout the state, check your local rates.</t>
  </si>
  <si>
    <t>Return Above Variable Costs equals total receipts minus total variable costs.</t>
  </si>
  <si>
    <t>Return Above Variable and Land Costs equals total receipts minus total variable and land costs.</t>
  </si>
  <si>
    <t>Return Above Total Costs equals total receipts minus total costs.</t>
  </si>
  <si>
    <t>Return to Land equals total receipts minus total costs except land costs.</t>
  </si>
  <si>
    <t>Return to Labor and Management equals total receipts minus total expenses except operator labor and management cost.</t>
  </si>
  <si>
    <t xml:space="preserve">Return to Land, Labor and Management equals total receipts minus total expenses </t>
  </si>
  <si>
    <t>except operator labor and management and land costs.</t>
  </si>
  <si>
    <t>Authors: Barry Ward, Dr. Mark Sulc, Dianne Shoemaker, Dr. Mark Loux</t>
  </si>
  <si>
    <t xml:space="preserve">*Leader, Production Business Management; Extension Specialist, Forages; </t>
  </si>
  <si>
    <t>Extension Field Specialist, Dairy Production Economics; Extension Specialist, Weed Science.</t>
  </si>
  <si>
    <t>CASH score</t>
  </si>
  <si>
    <t>$/CASH point/acre/year</t>
  </si>
  <si>
    <t>Org Matter %</t>
  </si>
  <si>
    <t>$/0.1%OM/acre/year</t>
  </si>
  <si>
    <t>Aggregate Stability %</t>
  </si>
  <si>
    <t>$/1%AS/acre/year</t>
  </si>
  <si>
    <t>Profit per acre per year</t>
  </si>
  <si>
    <t>n/av</t>
  </si>
  <si>
    <t>Costs for Each Change</t>
  </si>
  <si>
    <t>Yield (Mg Corn/ha)</t>
  </si>
  <si>
    <t>Cost/Ton</t>
  </si>
  <si>
    <t>Yield (tons Corn/ac)</t>
  </si>
  <si>
    <t>Yield (Kg Corn/ha)</t>
  </si>
  <si>
    <t>Reduced Profit** ($/ac/yr)</t>
  </si>
  <si>
    <t>CTL</t>
  </si>
  <si>
    <t>1.27ab</t>
  </si>
  <si>
    <t>1.42a</t>
  </si>
  <si>
    <t>0.522bc</t>
  </si>
  <si>
    <t>0.463d</t>
  </si>
  <si>
    <t>0.28c</t>
  </si>
  <si>
    <t>1.17bc</t>
  </si>
  <si>
    <t>1.22b</t>
  </si>
  <si>
    <t>0.559ab</t>
  </si>
  <si>
    <t>0.539c</t>
  </si>
  <si>
    <t>0.31bc</t>
  </si>
  <si>
    <t>1.16bc</t>
  </si>
  <si>
    <t>0.557ab</t>
  </si>
  <si>
    <t>0.563bc</t>
  </si>
  <si>
    <t>1.08c</t>
  </si>
  <si>
    <t>1.11cd</t>
  </si>
  <si>
    <t>0.593a</t>
  </si>
  <si>
    <t>0.581ab</t>
  </si>
  <si>
    <t>0.40a</t>
  </si>
  <si>
    <t>1.23ab</t>
  </si>
  <si>
    <t>1.07cd</t>
  </si>
  <si>
    <t>0.536bc</t>
  </si>
  <si>
    <t>0.598ab</t>
  </si>
  <si>
    <t>0.36a</t>
  </si>
  <si>
    <t>1.15bc</t>
  </si>
  <si>
    <t>1.05d</t>
  </si>
  <si>
    <t>0.566ab</t>
  </si>
  <si>
    <t>0.605a</t>
  </si>
  <si>
    <t>0.38a</t>
  </si>
  <si>
    <t>0.520bc</t>
  </si>
  <si>
    <t>0.538c</t>
  </si>
  <si>
    <t>1.32a</t>
  </si>
  <si>
    <t>1.26b</t>
  </si>
  <si>
    <t>0.503c</t>
  </si>
  <si>
    <t>0.525c</t>
  </si>
  <si>
    <t>0.32b</t>
  </si>
  <si>
    <t>Bulk Density</t>
  </si>
  <si>
    <t>Porosity</t>
  </si>
  <si>
    <t>Water Holding Capacity</t>
  </si>
  <si>
    <t>Table 5 from Evanylo et al. (2008)</t>
  </si>
  <si>
    <t>% change from control</t>
  </si>
  <si>
    <t>Water Holding Cap.</t>
  </si>
  <si>
    <t>Cost-effectiveness for Soil Health Metrics</t>
  </si>
  <si>
    <t>Rank</t>
  </si>
  <si>
    <t>Relative change and rank of soil health metrics by 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</si>
</sst>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3" formatCode="_(* #,##0.00_);_(* \(#,##0.00\);_(* &quot;-&quot;??_);_(@_)"/>
    <numFmt numFmtId="164" formatCode="&quot;$&quot;#,##0.00"/>
    <numFmt numFmtId="165" formatCode="0.0"/>
    <numFmt numFmtId="166" formatCode="_([$$-409]* #,##0.00_);_([$$-409]* \(#,##0.00\);_([$$-409]* &quot;-&quot;??_);_(@_)"/>
    <numFmt numFmtId="167" formatCode="#,##0.000"/>
    <numFmt numFmtId="168" formatCode="#,##0.0000"/>
  </numFmts>
  <fonts count="25" x14ac:knownFonts="1">
    <font>
      <sz val="10"/>
      <name val="Arial"/>
    </font>
    <font>
      <sz val="11"/>
      <color theme="1"/>
      <name val="Calibri"/>
      <family val="2"/>
      <scheme val="minor"/>
    </font>
    <font>
      <sz val="10"/>
      <name val="Arial"/>
      <family val="2"/>
    </font>
    <font>
      <sz val="10"/>
      <color indexed="8"/>
      <name val="Arial"/>
      <family val="2"/>
    </font>
    <font>
      <b/>
      <sz val="10"/>
      <color indexed="8"/>
      <name val="Arial"/>
      <family val="2"/>
    </font>
    <font>
      <u/>
      <sz val="10"/>
      <color indexed="8"/>
      <name val="Arial"/>
      <family val="2"/>
    </font>
    <font>
      <sz val="8"/>
      <name val="Arial"/>
      <family val="2"/>
    </font>
    <font>
      <b/>
      <sz val="14"/>
      <name val="Arial"/>
      <family val="2"/>
    </font>
    <font>
      <b/>
      <sz val="12"/>
      <name val="Arial"/>
      <family val="2"/>
    </font>
    <font>
      <i/>
      <sz val="10"/>
      <name val="Arial"/>
      <family val="2"/>
    </font>
    <font>
      <sz val="10"/>
      <name val="Arial"/>
      <family val="2"/>
    </font>
    <font>
      <b/>
      <sz val="11"/>
      <color theme="1"/>
      <name val="Calibri"/>
      <family val="2"/>
      <scheme val="minor"/>
    </font>
    <font>
      <b/>
      <sz val="10"/>
      <name val="Arial"/>
      <family val="2"/>
    </font>
    <font>
      <b/>
      <sz val="11"/>
      <color rgb="FFFF0000"/>
      <name val="Calibri"/>
      <family val="2"/>
      <scheme val="minor"/>
    </font>
    <font>
      <sz val="11"/>
      <name val="Calibri"/>
      <family val="2"/>
      <scheme val="minor"/>
    </font>
    <font>
      <b/>
      <u/>
      <sz val="11"/>
      <color rgb="FFFF0000"/>
      <name val="Calibri"/>
      <family val="2"/>
      <scheme val="minor"/>
    </font>
    <font>
      <b/>
      <sz val="10"/>
      <color rgb="FFFF0000"/>
      <name val="Calibri"/>
      <family val="2"/>
      <scheme val="minor"/>
    </font>
    <font>
      <b/>
      <sz val="11"/>
      <name val="Calibri"/>
      <family val="2"/>
      <scheme val="minor"/>
    </font>
    <font>
      <b/>
      <vertAlign val="superscript"/>
      <sz val="10"/>
      <name val="Arial"/>
      <family val="2"/>
    </font>
    <font>
      <b/>
      <i/>
      <sz val="10"/>
      <name val="Arial"/>
      <family val="2"/>
    </font>
    <font>
      <vertAlign val="superscript"/>
      <sz val="10"/>
      <name val="Arial"/>
      <family val="2"/>
    </font>
    <font>
      <vertAlign val="subscript"/>
      <sz val="10"/>
      <name val="Arial"/>
      <family val="2"/>
    </font>
    <font>
      <sz val="9"/>
      <name val="Arial"/>
      <family val="2"/>
    </font>
    <font>
      <vertAlign val="superscript"/>
      <sz val="9"/>
      <name val="Arial"/>
      <family val="2"/>
    </font>
    <font>
      <b/>
      <sz val="9"/>
      <name val="Arial"/>
      <family val="2"/>
    </font>
  </fonts>
  <fills count="13">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1"/>
        <bgColor indexed="64"/>
      </patternFill>
    </fill>
    <fill>
      <patternFill patternType="solid">
        <fgColor indexed="43"/>
        <bgColor indexed="64"/>
      </patternFill>
    </fill>
    <fill>
      <patternFill patternType="solid">
        <fgColor indexed="41"/>
        <bgColor indexed="64"/>
      </patternFill>
    </fill>
    <fill>
      <patternFill patternType="solid">
        <fgColor theme="0" tint="-0.24994659260841701"/>
        <bgColor indexed="64"/>
      </patternFill>
    </fill>
    <fill>
      <patternFill patternType="solid">
        <fgColor indexed="22"/>
        <bgColor indexed="64"/>
      </patternFill>
    </fill>
    <fill>
      <patternFill patternType="solid">
        <fgColor rgb="FFFFFF99"/>
        <bgColor indexed="64"/>
      </patternFill>
    </fill>
    <fill>
      <patternFill patternType="solid">
        <fgColor rgb="FFCCFFFF"/>
        <bgColor indexed="64"/>
      </patternFill>
    </fill>
  </fills>
  <borders count="64">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xf numFmtId="37" fontId="10" fillId="0" borderId="0" applyFont="0" applyFill="0" applyBorder="0" applyAlignment="0" applyProtection="0"/>
    <xf numFmtId="43" fontId="10" fillId="0" borderId="0" applyFont="0" applyFill="0" applyBorder="0" applyAlignment="0" applyProtection="0"/>
    <xf numFmtId="0" fontId="1" fillId="0" borderId="0"/>
    <xf numFmtId="0" fontId="2" fillId="0" borderId="0"/>
    <xf numFmtId="9" fontId="2" fillId="0" borderId="0" applyFont="0" applyFill="0" applyBorder="0" applyAlignment="0" applyProtection="0"/>
  </cellStyleXfs>
  <cellXfs count="495">
    <xf numFmtId="0" fontId="0" fillId="0" borderId="0" xfId="0"/>
    <xf numFmtId="8" fontId="0" fillId="0" borderId="0" xfId="0" applyNumberFormat="1"/>
    <xf numFmtId="0" fontId="0" fillId="0" borderId="1" xfId="0" applyBorder="1"/>
    <xf numFmtId="8" fontId="0" fillId="0" borderId="1" xfId="0" applyNumberFormat="1" applyBorder="1"/>
    <xf numFmtId="164" fontId="2" fillId="0" borderId="0" xfId="0" applyNumberFormat="1" applyFont="1"/>
    <xf numFmtId="4" fontId="2" fillId="0" borderId="0" xfId="0" applyNumberFormat="1" applyFont="1"/>
    <xf numFmtId="0" fontId="0" fillId="0" borderId="2" xfId="0" applyBorder="1" applyAlignment="1">
      <alignment horizontal="centerContinuous"/>
    </xf>
    <xf numFmtId="0" fontId="0" fillId="0" borderId="3" xfId="0" applyBorder="1" applyAlignment="1">
      <alignment horizontal="right"/>
    </xf>
    <xf numFmtId="0" fontId="3" fillId="0" borderId="0" xfId="0" applyFont="1"/>
    <xf numFmtId="0" fontId="4" fillId="0" borderId="0" xfId="0" applyFont="1"/>
    <xf numFmtId="0" fontId="3" fillId="0" borderId="0" xfId="0" applyFont="1" applyAlignment="1">
      <alignment horizontal="centerContinuous"/>
    </xf>
    <xf numFmtId="0" fontId="3" fillId="0" borderId="4" xfId="0" applyFont="1" applyBorder="1" applyAlignment="1">
      <alignment horizontal="left"/>
    </xf>
    <xf numFmtId="0" fontId="3" fillId="0" borderId="5" xfId="0" applyFont="1" applyBorder="1" applyAlignment="1">
      <alignment horizontal="left"/>
    </xf>
    <xf numFmtId="0" fontId="3" fillId="0" borderId="5" xfId="0" applyFont="1" applyBorder="1" applyAlignment="1">
      <alignment horizontal="centerContinuous"/>
    </xf>
    <xf numFmtId="0" fontId="3" fillId="0" borderId="5" xfId="0" applyFont="1" applyBorder="1" applyAlignment="1">
      <alignment horizontal="right"/>
    </xf>
    <xf numFmtId="0" fontId="3" fillId="0" borderId="2" xfId="0" applyFont="1" applyBorder="1" applyAlignment="1">
      <alignment horizontal="right"/>
    </xf>
    <xf numFmtId="0" fontId="3" fillId="0" borderId="6"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right"/>
    </xf>
    <xf numFmtId="0" fontId="3" fillId="0" borderId="7"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right"/>
    </xf>
    <xf numFmtId="2" fontId="3" fillId="0" borderId="0" xfId="0" applyNumberFormat="1" applyFont="1"/>
    <xf numFmtId="0" fontId="3" fillId="0" borderId="1" xfId="0" applyFont="1" applyBorder="1"/>
    <xf numFmtId="2" fontId="3" fillId="0" borderId="1" xfId="0" applyNumberFormat="1" applyFont="1" applyBorder="1"/>
    <xf numFmtId="0" fontId="3" fillId="0" borderId="8" xfId="0" applyFont="1" applyBorder="1"/>
    <xf numFmtId="2" fontId="3" fillId="0" borderId="8" xfId="0" applyNumberFormat="1" applyFont="1" applyBorder="1"/>
    <xf numFmtId="2" fontId="3" fillId="0" borderId="0" xfId="0" applyNumberFormat="1" applyFont="1" applyAlignment="1">
      <alignment horizontal="left"/>
    </xf>
    <xf numFmtId="164" fontId="3" fillId="0" borderId="0" xfId="0" applyNumberFormat="1" applyFont="1"/>
    <xf numFmtId="8" fontId="3" fillId="0" borderId="0" xfId="0" applyNumberFormat="1" applyFont="1"/>
    <xf numFmtId="4" fontId="3" fillId="0" borderId="0" xfId="0" applyNumberFormat="1" applyFont="1"/>
    <xf numFmtId="40" fontId="3" fillId="0" borderId="0" xfId="0" applyNumberFormat="1" applyFont="1"/>
    <xf numFmtId="0" fontId="3" fillId="0" borderId="0" xfId="0" applyFont="1" applyBorder="1"/>
    <xf numFmtId="2" fontId="3" fillId="0" borderId="0" xfId="0" applyNumberFormat="1" applyFont="1" applyBorder="1" applyAlignment="1">
      <alignment horizontal="left"/>
    </xf>
    <xf numFmtId="4" fontId="3" fillId="0" borderId="0" xfId="0" applyNumberFormat="1" applyFont="1" applyBorder="1"/>
    <xf numFmtId="40" fontId="3" fillId="0" borderId="0" xfId="0" applyNumberFormat="1" applyFont="1" applyBorder="1"/>
    <xf numFmtId="0" fontId="5" fillId="0" borderId="1" xfId="0" applyFont="1" applyBorder="1"/>
    <xf numFmtId="2" fontId="5" fillId="0" borderId="1" xfId="0" applyNumberFormat="1" applyFont="1" applyBorder="1" applyAlignment="1">
      <alignment horizontal="left"/>
    </xf>
    <xf numFmtId="4" fontId="5" fillId="0" borderId="1" xfId="0" applyNumberFormat="1" applyFont="1" applyBorder="1"/>
    <xf numFmtId="40" fontId="5" fillId="0" borderId="1" xfId="0" applyNumberFormat="1" applyFont="1" applyBorder="1"/>
    <xf numFmtId="8" fontId="3" fillId="0" borderId="0" xfId="0" applyNumberFormat="1" applyFont="1" applyAlignment="1">
      <alignment horizontal="left"/>
    </xf>
    <xf numFmtId="8" fontId="3" fillId="0" borderId="0" xfId="0" applyNumberFormat="1" applyFont="1" applyAlignment="1"/>
    <xf numFmtId="164" fontId="3" fillId="0" borderId="0" xfId="0" applyNumberFormat="1" applyFont="1" applyAlignment="1"/>
    <xf numFmtId="8" fontId="3" fillId="0" borderId="1" xfId="0" applyNumberFormat="1" applyFont="1" applyBorder="1"/>
    <xf numFmtId="0" fontId="3" fillId="0" borderId="6" xfId="0" applyFont="1" applyBorder="1" applyAlignment="1">
      <alignment horizontal="left"/>
    </xf>
    <xf numFmtId="0" fontId="3" fillId="0" borderId="1" xfId="0" applyFont="1" applyBorder="1" applyAlignment="1">
      <alignment horizontal="left"/>
    </xf>
    <xf numFmtId="164" fontId="3" fillId="0" borderId="8" xfId="0" applyNumberFormat="1" applyFont="1" applyBorder="1"/>
    <xf numFmtId="0" fontId="3" fillId="0" borderId="6" xfId="0" applyFont="1" applyBorder="1"/>
    <xf numFmtId="0" fontId="3" fillId="0" borderId="8" xfId="0" applyFont="1" applyBorder="1" applyAlignment="1">
      <alignment horizontal="right"/>
    </xf>
    <xf numFmtId="165" fontId="3" fillId="0" borderId="0" xfId="0" applyNumberFormat="1" applyFont="1" applyAlignment="1">
      <alignment horizontal="left"/>
    </xf>
    <xf numFmtId="0" fontId="4" fillId="0" borderId="0" xfId="0" applyFont="1" applyBorder="1"/>
    <xf numFmtId="0" fontId="4" fillId="0" borderId="6" xfId="0" applyFont="1" applyBorder="1" applyAlignment="1">
      <alignment horizontal="left"/>
    </xf>
    <xf numFmtId="0" fontId="3" fillId="0" borderId="3" xfId="0" applyFont="1" applyBorder="1" applyAlignment="1">
      <alignment horizontal="right"/>
    </xf>
    <xf numFmtId="0" fontId="3" fillId="0" borderId="0" xfId="0" applyFont="1" applyAlignment="1">
      <alignment horizontal="left"/>
    </xf>
    <xf numFmtId="40" fontId="3" fillId="0" borderId="1" xfId="0" applyNumberFormat="1" applyFont="1" applyBorder="1"/>
    <xf numFmtId="8" fontId="3" fillId="0" borderId="8" xfId="0" applyNumberFormat="1" applyFont="1" applyBorder="1"/>
    <xf numFmtId="0" fontId="3" fillId="0" borderId="8" xfId="0" applyFont="1" applyBorder="1" applyAlignment="1">
      <alignment horizontal="centerContinuous"/>
    </xf>
    <xf numFmtId="0" fontId="3" fillId="0" borderId="3" xfId="0" applyFont="1" applyBorder="1" applyAlignment="1">
      <alignment horizontal="centerContinuous"/>
    </xf>
    <xf numFmtId="3" fontId="3" fillId="0" borderId="0" xfId="0" applyNumberFormat="1" applyFont="1"/>
    <xf numFmtId="3" fontId="3" fillId="0" borderId="0" xfId="0" applyNumberFormat="1" applyFont="1" applyBorder="1"/>
    <xf numFmtId="38" fontId="3" fillId="0" borderId="0" xfId="0" applyNumberFormat="1" applyFont="1" applyBorder="1"/>
    <xf numFmtId="3" fontId="3" fillId="0" borderId="1" xfId="0" applyNumberFormat="1" applyFont="1" applyBorder="1"/>
    <xf numFmtId="8" fontId="5" fillId="0" borderId="8" xfId="0" applyNumberFormat="1" applyFont="1" applyBorder="1"/>
    <xf numFmtId="0" fontId="0" fillId="0" borderId="0" xfId="0" applyBorder="1"/>
    <xf numFmtId="0" fontId="3" fillId="0" borderId="4" xfId="0" applyFont="1" applyBorder="1" applyAlignment="1">
      <alignment horizontal="right"/>
    </xf>
    <xf numFmtId="1" fontId="0" fillId="0" borderId="0" xfId="0" applyNumberFormat="1"/>
    <xf numFmtId="1" fontId="0" fillId="0" borderId="1" xfId="0" applyNumberFormat="1" applyBorder="1"/>
    <xf numFmtId="0" fontId="8" fillId="0" borderId="0" xfId="0" applyFont="1" applyAlignment="1">
      <alignment horizontal="center"/>
    </xf>
    <xf numFmtId="38" fontId="3" fillId="0" borderId="0" xfId="0" applyNumberFormat="1" applyFont="1"/>
    <xf numFmtId="38" fontId="3" fillId="0" borderId="1" xfId="0" applyNumberFormat="1" applyFont="1" applyBorder="1"/>
    <xf numFmtId="37" fontId="3" fillId="0" borderId="0" xfId="1" applyFont="1"/>
    <xf numFmtId="0" fontId="3" fillId="0" borderId="0" xfId="0" applyFont="1" applyAlignment="1">
      <alignment horizontal="right"/>
    </xf>
    <xf numFmtId="0" fontId="3" fillId="0" borderId="9" xfId="0" applyFont="1" applyBorder="1" applyAlignment="1">
      <alignment horizontal="right"/>
    </xf>
    <xf numFmtId="37" fontId="3" fillId="0" borderId="1" xfId="1" applyFont="1" applyBorder="1"/>
    <xf numFmtId="37" fontId="3" fillId="0" borderId="0" xfId="1" applyFont="1" applyBorder="1"/>
    <xf numFmtId="43" fontId="3" fillId="0" borderId="0" xfId="2" applyFont="1" applyBorder="1"/>
    <xf numFmtId="43" fontId="3" fillId="0" borderId="0" xfId="2" applyFont="1"/>
    <xf numFmtId="0" fontId="4" fillId="0" borderId="9" xfId="0" applyFont="1" applyBorder="1" applyAlignment="1">
      <alignment horizontal="left"/>
    </xf>
    <xf numFmtId="4" fontId="2" fillId="0" borderId="1" xfId="0" applyNumberFormat="1" applyFont="1" applyBorder="1"/>
    <xf numFmtId="4" fontId="3" fillId="0" borderId="1" xfId="0" applyNumberFormat="1" applyFont="1" applyBorder="1"/>
    <xf numFmtId="165" fontId="3" fillId="0" borderId="1" xfId="0" applyNumberFormat="1" applyFont="1" applyBorder="1" applyAlignment="1">
      <alignment horizontal="left"/>
    </xf>
    <xf numFmtId="0" fontId="3" fillId="0" borderId="0" xfId="0" applyFont="1" applyAlignment="1">
      <alignment horizontal="center"/>
    </xf>
    <xf numFmtId="0" fontId="12" fillId="0" borderId="0" xfId="0" applyFont="1"/>
    <xf numFmtId="0" fontId="7" fillId="0" borderId="0" xfId="0" applyFont="1"/>
    <xf numFmtId="166" fontId="0" fillId="0" borderId="0" xfId="0" applyNumberFormat="1"/>
    <xf numFmtId="166" fontId="0" fillId="0" borderId="18" xfId="0" applyNumberFormat="1" applyBorder="1"/>
    <xf numFmtId="166" fontId="0" fillId="0" borderId="0" xfId="0" applyNumberFormat="1" applyBorder="1"/>
    <xf numFmtId="166" fontId="2" fillId="0" borderId="0" xfId="0" applyNumberFormat="1" applyFont="1" applyBorder="1"/>
    <xf numFmtId="166" fontId="2" fillId="0" borderId="19" xfId="0" applyNumberFormat="1" applyFont="1" applyBorder="1"/>
    <xf numFmtId="166" fontId="0" fillId="2" borderId="18" xfId="0" applyNumberFormat="1" applyFill="1" applyBorder="1"/>
    <xf numFmtId="166" fontId="0" fillId="2" borderId="0" xfId="0" applyNumberFormat="1" applyFill="1" applyBorder="1"/>
    <xf numFmtId="166" fontId="0" fillId="0" borderId="19" xfId="0" applyNumberFormat="1" applyBorder="1"/>
    <xf numFmtId="166" fontId="0" fillId="0" borderId="13" xfId="0" applyNumberFormat="1" applyBorder="1"/>
    <xf numFmtId="166" fontId="0" fillId="0" borderId="14" xfId="0" applyNumberFormat="1" applyBorder="1"/>
    <xf numFmtId="166" fontId="0" fillId="0" borderId="15" xfId="0" applyNumberFormat="1" applyBorder="1"/>
    <xf numFmtId="166" fontId="12" fillId="0" borderId="23" xfId="0" applyNumberFormat="1" applyFont="1" applyBorder="1"/>
    <xf numFmtId="166" fontId="12" fillId="0" borderId="24" xfId="0" applyNumberFormat="1" applyFont="1" applyBorder="1"/>
    <xf numFmtId="0" fontId="0" fillId="0" borderId="0" xfId="0" applyAlignment="1">
      <alignment wrapText="1"/>
    </xf>
    <xf numFmtId="0" fontId="0" fillId="0" borderId="22" xfId="0" applyBorder="1" applyAlignment="1">
      <alignment wrapText="1"/>
    </xf>
    <xf numFmtId="164" fontId="0" fillId="0" borderId="0" xfId="0" applyNumberFormat="1"/>
    <xf numFmtId="0" fontId="0" fillId="0" borderId="29" xfId="0" applyBorder="1" applyAlignment="1">
      <alignment wrapText="1"/>
    </xf>
    <xf numFmtId="0" fontId="0" fillId="0" borderId="17" xfId="0" applyBorder="1" applyAlignment="1">
      <alignment wrapText="1"/>
    </xf>
    <xf numFmtId="0" fontId="0" fillId="0" borderId="16" xfId="0" applyBorder="1" applyAlignment="1">
      <alignment wrapText="1"/>
    </xf>
    <xf numFmtId="0" fontId="0" fillId="0" borderId="30" xfId="0" applyBorder="1" applyAlignment="1">
      <alignment wrapText="1"/>
    </xf>
    <xf numFmtId="164" fontId="0" fillId="0" borderId="0" xfId="0" applyNumberFormat="1" applyAlignment="1">
      <alignment wrapText="1"/>
    </xf>
    <xf numFmtId="164" fontId="0" fillId="0" borderId="30" xfId="0" applyNumberFormat="1" applyBorder="1" applyAlignment="1">
      <alignment wrapText="1"/>
    </xf>
    <xf numFmtId="0" fontId="14" fillId="0" borderId="0" xfId="0" applyFont="1" applyAlignment="1">
      <alignment vertical="center"/>
    </xf>
    <xf numFmtId="0" fontId="0" fillId="0" borderId="31" xfId="0" applyBorder="1" applyAlignment="1">
      <alignment wrapText="1"/>
    </xf>
    <xf numFmtId="0" fontId="0" fillId="0" borderId="32" xfId="0" applyBorder="1" applyAlignment="1">
      <alignment wrapText="1"/>
    </xf>
    <xf numFmtId="164" fontId="0" fillId="0" borderId="32" xfId="0" applyNumberFormat="1" applyBorder="1" applyAlignment="1">
      <alignment wrapText="1"/>
    </xf>
    <xf numFmtId="0" fontId="0" fillId="0" borderId="33" xfId="0" applyBorder="1" applyAlignment="1">
      <alignment wrapText="1"/>
    </xf>
    <xf numFmtId="0" fontId="0" fillId="4" borderId="34" xfId="0" applyFill="1" applyBorder="1" applyAlignment="1">
      <alignment wrapText="1"/>
    </xf>
    <xf numFmtId="164" fontId="14" fillId="0" borderId="0" xfId="0" applyNumberFormat="1" applyFont="1"/>
    <xf numFmtId="0" fontId="0" fillId="5" borderId="0" xfId="0" applyFill="1"/>
    <xf numFmtId="0" fontId="0" fillId="3" borderId="0" xfId="0" applyFill="1"/>
    <xf numFmtId="164" fontId="0" fillId="3" borderId="0" xfId="0" applyNumberFormat="1" applyFill="1"/>
    <xf numFmtId="164" fontId="0" fillId="0" borderId="37" xfId="0" applyNumberFormat="1" applyBorder="1" applyAlignment="1">
      <alignment wrapText="1"/>
    </xf>
    <xf numFmtId="164" fontId="13" fillId="0" borderId="0" xfId="0" applyNumberFormat="1" applyFont="1" applyAlignment="1">
      <alignment wrapText="1"/>
    </xf>
    <xf numFmtId="0" fontId="11" fillId="0" borderId="25" xfId="0" applyFont="1" applyBorder="1" applyAlignment="1">
      <alignment horizontal="center" wrapText="1"/>
    </xf>
    <xf numFmtId="0" fontId="11" fillId="0" borderId="26" xfId="0" applyFont="1" applyBorder="1" applyAlignment="1">
      <alignment horizontal="center" wrapText="1"/>
    </xf>
    <xf numFmtId="164" fontId="13" fillId="0" borderId="0" xfId="0" applyNumberFormat="1" applyFont="1" applyAlignment="1">
      <alignment horizontal="left"/>
    </xf>
    <xf numFmtId="0" fontId="0" fillId="0" borderId="37" xfId="0" applyBorder="1" applyAlignment="1">
      <alignment wrapText="1"/>
    </xf>
    <xf numFmtId="0" fontId="13" fillId="0" borderId="0" xfId="0" applyFont="1"/>
    <xf numFmtId="0" fontId="15" fillId="0" borderId="0" xfId="0" applyFont="1" applyAlignment="1">
      <alignment horizontal="center" wrapText="1"/>
    </xf>
    <xf numFmtId="164" fontId="15" fillId="0" borderId="0" xfId="0" applyNumberFormat="1" applyFont="1" applyAlignment="1">
      <alignment horizontal="center" wrapText="1"/>
    </xf>
    <xf numFmtId="164" fontId="15" fillId="0" borderId="0" xfId="0" applyNumberFormat="1" applyFont="1" applyAlignment="1">
      <alignment horizontal="left"/>
    </xf>
    <xf numFmtId="0" fontId="13" fillId="0" borderId="0" xfId="0" applyFont="1" applyAlignment="1">
      <alignment horizontal="center" wrapText="1"/>
    </xf>
    <xf numFmtId="9" fontId="0" fillId="0" borderId="0" xfId="0" applyNumberFormat="1" applyAlignment="1">
      <alignment horizontal="center" vertical="top" wrapText="1"/>
    </xf>
    <xf numFmtId="0" fontId="13" fillId="0" borderId="0" xfId="0" applyFont="1" applyAlignment="1">
      <alignment horizontal="center"/>
    </xf>
    <xf numFmtId="8" fontId="14" fillId="0" borderId="0" xfId="0" applyNumberFormat="1" applyFont="1" applyAlignment="1">
      <alignment horizontal="right" vertical="center"/>
    </xf>
    <xf numFmtId="8" fontId="13" fillId="0" borderId="0" xfId="0" applyNumberFormat="1" applyFont="1" applyAlignment="1">
      <alignment horizontal="center" wrapText="1"/>
    </xf>
    <xf numFmtId="164" fontId="14" fillId="0" borderId="0" xfId="0" applyNumberFormat="1" applyFont="1" applyAlignment="1">
      <alignment horizontal="right"/>
    </xf>
    <xf numFmtId="0" fontId="16" fillId="0" borderId="0" xfId="0" applyFont="1"/>
    <xf numFmtId="0" fontId="14" fillId="0" borderId="0" xfId="0" applyFont="1"/>
    <xf numFmtId="164" fontId="0" fillId="0" borderId="0" xfId="0" applyNumberFormat="1" applyAlignment="1">
      <alignment horizontal="right"/>
    </xf>
    <xf numFmtId="10" fontId="13" fillId="0" borderId="17" xfId="0" applyNumberFormat="1" applyFont="1" applyBorder="1" applyAlignment="1">
      <alignment wrapText="1"/>
    </xf>
    <xf numFmtId="0" fontId="0" fillId="0" borderId="16" xfId="0" applyBorder="1"/>
    <xf numFmtId="0" fontId="2" fillId="0" borderId="16" xfId="0" applyFont="1"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9" xfId="0" applyBorder="1"/>
    <xf numFmtId="0" fontId="2" fillId="0" borderId="35" xfId="0" applyFont="1" applyBorder="1" applyAlignment="1">
      <alignment wrapText="1"/>
    </xf>
    <xf numFmtId="0" fontId="0" fillId="0" borderId="36" xfId="0" applyBorder="1" applyAlignment="1">
      <alignment wrapText="1"/>
    </xf>
    <xf numFmtId="0" fontId="0" fillId="0" borderId="35" xfId="0" applyBorder="1" applyAlignment="1">
      <alignment wrapText="1"/>
    </xf>
    <xf numFmtId="0" fontId="0" fillId="0" borderId="0" xfId="0" applyAlignment="1">
      <alignment horizontal="center" wrapText="1"/>
    </xf>
    <xf numFmtId="166" fontId="12" fillId="0" borderId="20" xfId="0" applyNumberFormat="1" applyFont="1" applyBorder="1"/>
    <xf numFmtId="166" fontId="12" fillId="0" borderId="22" xfId="0" applyNumberFormat="1" applyFont="1" applyBorder="1"/>
    <xf numFmtId="166" fontId="12" fillId="0" borderId="35" xfId="0" applyNumberFormat="1" applyFont="1" applyBorder="1"/>
    <xf numFmtId="166" fontId="12" fillId="0" borderId="37" xfId="0" applyNumberFormat="1" applyFont="1" applyBorder="1"/>
    <xf numFmtId="0" fontId="0" fillId="0" borderId="16" xfId="0" applyFill="1" applyBorder="1" applyAlignment="1">
      <alignment wrapText="1"/>
    </xf>
    <xf numFmtId="0" fontId="14" fillId="0" borderId="16" xfId="0" applyFont="1" applyBorder="1" applyAlignment="1">
      <alignment vertical="center"/>
    </xf>
    <xf numFmtId="8" fontId="14" fillId="0" borderId="16" xfId="0" applyNumberFormat="1" applyFont="1" applyBorder="1" applyAlignment="1">
      <alignment vertical="center"/>
    </xf>
    <xf numFmtId="164" fontId="14" fillId="0" borderId="16" xfId="0" applyNumberFormat="1" applyFont="1" applyBorder="1"/>
    <xf numFmtId="164" fontId="0" fillId="0" borderId="21" xfId="0" applyNumberFormat="1" applyBorder="1" applyAlignment="1">
      <alignment wrapText="1"/>
    </xf>
    <xf numFmtId="0" fontId="14" fillId="0" borderId="29" xfId="0" applyFont="1" applyBorder="1" applyAlignment="1">
      <alignment vertical="center"/>
    </xf>
    <xf numFmtId="8" fontId="14" fillId="0" borderId="30" xfId="0" applyNumberFormat="1" applyFont="1" applyBorder="1" applyAlignment="1">
      <alignment vertical="center" wrapText="1"/>
    </xf>
    <xf numFmtId="8" fontId="14" fillId="0" borderId="30" xfId="0" applyNumberFormat="1" applyFont="1" applyBorder="1" applyAlignment="1">
      <alignment wrapText="1"/>
    </xf>
    <xf numFmtId="0" fontId="14" fillId="0" borderId="35" xfId="0" applyFont="1" applyBorder="1" applyAlignment="1">
      <alignment vertical="center"/>
    </xf>
    <xf numFmtId="164" fontId="0" fillId="0" borderId="36" xfId="0" applyNumberFormat="1" applyBorder="1"/>
    <xf numFmtId="164" fontId="14" fillId="0" borderId="36" xfId="0" applyNumberFormat="1" applyFont="1" applyBorder="1"/>
    <xf numFmtId="164" fontId="14" fillId="0" borderId="37" xfId="0" applyNumberFormat="1" applyFont="1" applyBorder="1"/>
    <xf numFmtId="3" fontId="0" fillId="0" borderId="16" xfId="0" applyNumberFormat="1" applyBorder="1"/>
    <xf numFmtId="3" fontId="0" fillId="0" borderId="17" xfId="0" applyNumberFormat="1" applyBorder="1"/>
    <xf numFmtId="3" fontId="0" fillId="0" borderId="38" xfId="0" applyNumberFormat="1" applyBorder="1"/>
    <xf numFmtId="3" fontId="0" fillId="0" borderId="29" xfId="0" applyNumberFormat="1" applyBorder="1"/>
    <xf numFmtId="0" fontId="0" fillId="0" borderId="30" xfId="0" applyBorder="1"/>
    <xf numFmtId="3" fontId="0" fillId="0" borderId="35" xfId="0" applyNumberFormat="1" applyBorder="1"/>
    <xf numFmtId="3" fontId="0" fillId="0" borderId="36" xfId="0" applyNumberFormat="1" applyBorder="1"/>
    <xf numFmtId="0" fontId="0" fillId="0" borderId="37" xfId="0" applyBorder="1"/>
    <xf numFmtId="0" fontId="0" fillId="0" borderId="40" xfId="0" applyBorder="1"/>
    <xf numFmtId="0" fontId="0" fillId="0" borderId="41" xfId="0" applyBorder="1"/>
    <xf numFmtId="0" fontId="0" fillId="0" borderId="6" xfId="0" applyBorder="1"/>
    <xf numFmtId="0" fontId="0" fillId="0" borderId="9" xfId="0" applyBorder="1"/>
    <xf numFmtId="0" fontId="0" fillId="0" borderId="42" xfId="0" applyBorder="1"/>
    <xf numFmtId="3" fontId="0" fillId="0" borderId="20" xfId="0" applyNumberFormat="1" applyBorder="1"/>
    <xf numFmtId="3" fontId="0" fillId="0" borderId="21" xfId="0" applyNumberFormat="1" applyBorder="1"/>
    <xf numFmtId="0" fontId="0" fillId="0" borderId="22" xfId="0" applyBorder="1"/>
    <xf numFmtId="3" fontId="0" fillId="0" borderId="30" xfId="0" applyNumberFormat="1" applyBorder="1"/>
    <xf numFmtId="3" fontId="0" fillId="0" borderId="27" xfId="0" applyNumberFormat="1" applyBorder="1"/>
    <xf numFmtId="3" fontId="0" fillId="0" borderId="3" xfId="0" applyNumberFormat="1" applyBorder="1"/>
    <xf numFmtId="3" fontId="0" fillId="0" borderId="46" xfId="0" applyNumberFormat="1" applyBorder="1"/>
    <xf numFmtId="2" fontId="2" fillId="0" borderId="0" xfId="0" applyNumberFormat="1" applyFont="1" applyAlignment="1">
      <alignment horizontal="right"/>
    </xf>
    <xf numFmtId="0" fontId="2" fillId="0" borderId="23" xfId="0" applyFont="1" applyBorder="1"/>
    <xf numFmtId="0" fontId="12" fillId="0" borderId="25" xfId="0" applyFont="1" applyBorder="1" applyAlignment="1">
      <alignment horizontal="center"/>
    </xf>
    <xf numFmtId="0" fontId="12" fillId="0" borderId="47" xfId="0" applyFont="1" applyBorder="1" applyAlignment="1">
      <alignment horizontal="center"/>
    </xf>
    <xf numFmtId="0" fontId="12" fillId="0" borderId="26" xfId="0" applyFont="1" applyBorder="1" applyAlignment="1">
      <alignment horizontal="center"/>
    </xf>
    <xf numFmtId="0" fontId="2" fillId="0" borderId="0" xfId="0" applyFont="1" applyAlignment="1">
      <alignment horizontal="center" wrapText="1"/>
    </xf>
    <xf numFmtId="165" fontId="0" fillId="0" borderId="0" xfId="0" applyNumberFormat="1"/>
    <xf numFmtId="0" fontId="12" fillId="0" borderId="43" xfId="0" applyFont="1" applyBorder="1" applyAlignment="1">
      <alignment horizontal="center" wrapText="1"/>
    </xf>
    <xf numFmtId="0" fontId="12" fillId="0" borderId="44" xfId="0" applyFont="1" applyBorder="1" applyAlignment="1">
      <alignment horizontal="center" wrapText="1"/>
    </xf>
    <xf numFmtId="0" fontId="12" fillId="0" borderId="45" xfId="0" applyFont="1" applyBorder="1" applyAlignment="1">
      <alignment horizontal="center" wrapText="1"/>
    </xf>
    <xf numFmtId="0" fontId="0" fillId="0" borderId="38" xfId="0" applyBorder="1" applyAlignment="1">
      <alignment wrapText="1"/>
    </xf>
    <xf numFmtId="164" fontId="0" fillId="0" borderId="39" xfId="0" applyNumberFormat="1" applyBorder="1" applyAlignment="1">
      <alignment wrapText="1"/>
    </xf>
    <xf numFmtId="164" fontId="0" fillId="0" borderId="16" xfId="0" applyNumberFormat="1" applyBorder="1" applyAlignment="1">
      <alignment wrapText="1"/>
    </xf>
    <xf numFmtId="0" fontId="1" fillId="0" borderId="0" xfId="3"/>
    <xf numFmtId="0" fontId="1" fillId="0" borderId="14" xfId="3" applyBorder="1" applyAlignment="1">
      <alignment wrapText="1"/>
    </xf>
    <xf numFmtId="0" fontId="1" fillId="0" borderId="32" xfId="3" applyBorder="1" applyAlignment="1">
      <alignment wrapText="1"/>
    </xf>
    <xf numFmtId="0" fontId="1" fillId="4" borderId="33" xfId="3" applyFill="1" applyBorder="1" applyAlignment="1">
      <alignment wrapText="1"/>
    </xf>
    <xf numFmtId="0" fontId="1" fillId="5" borderId="0" xfId="3" applyFill="1"/>
    <xf numFmtId="164" fontId="1" fillId="3" borderId="0" xfId="3" applyNumberFormat="1" applyFill="1"/>
    <xf numFmtId="164" fontId="1" fillId="5" borderId="0" xfId="3" applyNumberFormat="1" applyFill="1"/>
    <xf numFmtId="164" fontId="1" fillId="0" borderId="0" xfId="3" applyNumberFormat="1"/>
    <xf numFmtId="0" fontId="11" fillId="0" borderId="25" xfId="3" applyFont="1" applyBorder="1" applyAlignment="1">
      <alignment horizontal="center" wrapText="1"/>
    </xf>
    <xf numFmtId="0" fontId="11" fillId="0" borderId="26" xfId="3" applyFont="1" applyBorder="1" applyAlignment="1">
      <alignment horizontal="center" wrapText="1"/>
    </xf>
    <xf numFmtId="0" fontId="1" fillId="0" borderId="38" xfId="3" applyBorder="1" applyAlignment="1">
      <alignment wrapText="1"/>
    </xf>
    <xf numFmtId="164" fontId="1" fillId="0" borderId="39" xfId="3" applyNumberFormat="1" applyBorder="1" applyAlignment="1">
      <alignment wrapText="1"/>
    </xf>
    <xf numFmtId="0" fontId="1" fillId="0" borderId="29" xfId="3" applyBorder="1" applyAlignment="1">
      <alignment wrapText="1"/>
    </xf>
    <xf numFmtId="164" fontId="1" fillId="0" borderId="30" xfId="3" applyNumberFormat="1" applyBorder="1" applyAlignment="1">
      <alignment wrapText="1"/>
    </xf>
    <xf numFmtId="0" fontId="1" fillId="0" borderId="35" xfId="3" applyBorder="1" applyAlignment="1">
      <alignment wrapText="1"/>
    </xf>
    <xf numFmtId="164" fontId="1" fillId="0" borderId="37" xfId="3" applyNumberFormat="1" applyBorder="1" applyAlignment="1">
      <alignment wrapText="1"/>
    </xf>
    <xf numFmtId="164" fontId="13" fillId="0" borderId="20" xfId="0" applyNumberFormat="1" applyFont="1" applyBorder="1" applyAlignment="1">
      <alignment wrapText="1"/>
    </xf>
    <xf numFmtId="164" fontId="13" fillId="0" borderId="43" xfId="0" applyNumberFormat="1" applyFont="1" applyBorder="1" applyAlignment="1">
      <alignment wrapText="1"/>
    </xf>
    <xf numFmtId="166" fontId="12" fillId="0" borderId="29" xfId="0" applyNumberFormat="1" applyFont="1" applyBorder="1"/>
    <xf numFmtId="166" fontId="12" fillId="0" borderId="30" xfId="0" applyNumberFormat="1" applyFont="1" applyBorder="1"/>
    <xf numFmtId="164" fontId="12" fillId="0" borderId="51" xfId="0" applyNumberFormat="1" applyFont="1" applyBorder="1" applyAlignment="1">
      <alignment wrapText="1"/>
    </xf>
    <xf numFmtId="164" fontId="12" fillId="0" borderId="4" xfId="0" applyNumberFormat="1" applyFont="1" applyBorder="1" applyAlignment="1">
      <alignment wrapText="1"/>
    </xf>
    <xf numFmtId="0" fontId="12" fillId="0" borderId="25" xfId="0" applyFont="1" applyBorder="1" applyAlignment="1">
      <alignment wrapText="1"/>
    </xf>
    <xf numFmtId="0" fontId="12" fillId="0" borderId="47" xfId="0" applyFont="1" applyBorder="1" applyAlignment="1">
      <alignment wrapText="1"/>
    </xf>
    <xf numFmtId="0" fontId="12" fillId="0" borderId="26" xfId="0" applyFont="1" applyBorder="1" applyAlignment="1">
      <alignment wrapText="1"/>
    </xf>
    <xf numFmtId="164" fontId="12" fillId="0" borderId="48" xfId="0" applyNumberFormat="1" applyFont="1" applyBorder="1" applyAlignment="1">
      <alignment wrapText="1"/>
    </xf>
    <xf numFmtId="166" fontId="12" fillId="0" borderId="7" xfId="0" applyNumberFormat="1" applyFont="1" applyBorder="1" applyAlignment="1">
      <alignment wrapText="1"/>
    </xf>
    <xf numFmtId="166" fontId="12" fillId="0" borderId="17" xfId="0" applyNumberFormat="1" applyFont="1" applyBorder="1" applyAlignment="1">
      <alignment wrapText="1"/>
    </xf>
    <xf numFmtId="164" fontId="12" fillId="0" borderId="39" xfId="0" applyNumberFormat="1" applyFont="1" applyBorder="1" applyAlignment="1">
      <alignment wrapText="1"/>
    </xf>
    <xf numFmtId="164" fontId="12" fillId="0" borderId="49" xfId="0" applyNumberFormat="1" applyFont="1" applyBorder="1" applyAlignment="1">
      <alignment wrapText="1"/>
    </xf>
    <xf numFmtId="166" fontId="12" fillId="0" borderId="3" xfId="0" applyNumberFormat="1" applyFont="1" applyBorder="1" applyAlignment="1">
      <alignment wrapText="1"/>
    </xf>
    <xf numFmtId="166" fontId="12" fillId="0" borderId="16" xfId="0" applyNumberFormat="1" applyFont="1" applyBorder="1" applyAlignment="1">
      <alignment wrapText="1"/>
    </xf>
    <xf numFmtId="164" fontId="12" fillId="0" borderId="30" xfId="0" applyNumberFormat="1" applyFont="1" applyBorder="1" applyAlignment="1">
      <alignment wrapText="1"/>
    </xf>
    <xf numFmtId="164" fontId="12" fillId="0" borderId="50" xfId="0" applyNumberFormat="1" applyFont="1" applyBorder="1" applyAlignment="1">
      <alignment wrapText="1"/>
    </xf>
    <xf numFmtId="166" fontId="12" fillId="0" borderId="46" xfId="0" applyNumberFormat="1" applyFont="1" applyBorder="1" applyAlignment="1">
      <alignment wrapText="1"/>
    </xf>
    <xf numFmtId="166" fontId="12" fillId="0" borderId="36" xfId="0" applyNumberFormat="1" applyFont="1" applyBorder="1" applyAlignment="1">
      <alignment wrapText="1"/>
    </xf>
    <xf numFmtId="164" fontId="12" fillId="0" borderId="37" xfId="0" applyNumberFormat="1" applyFont="1" applyBorder="1" applyAlignment="1">
      <alignment wrapText="1"/>
    </xf>
    <xf numFmtId="0" fontId="2" fillId="0" borderId="16" xfId="0" applyFont="1" applyBorder="1"/>
    <xf numFmtId="164" fontId="0" fillId="0" borderId="16" xfId="0" applyNumberFormat="1" applyBorder="1"/>
    <xf numFmtId="0" fontId="2" fillId="0" borderId="29" xfId="0" applyFont="1" applyBorder="1"/>
    <xf numFmtId="164" fontId="0" fillId="0" borderId="30" xfId="0" applyNumberFormat="1" applyBorder="1"/>
    <xf numFmtId="0" fontId="2" fillId="0" borderId="35" xfId="0" applyFont="1" applyBorder="1"/>
    <xf numFmtId="164" fontId="0" fillId="0" borderId="37" xfId="0" applyNumberFormat="1" applyBorder="1"/>
    <xf numFmtId="0" fontId="2" fillId="0" borderId="0" xfId="0" applyFont="1" applyBorder="1"/>
    <xf numFmtId="164" fontId="0" fillId="0" borderId="0" xfId="0" applyNumberFormat="1" applyBorder="1"/>
    <xf numFmtId="0" fontId="0" fillId="0" borderId="35" xfId="0" applyBorder="1"/>
    <xf numFmtId="0" fontId="0" fillId="0" borderId="36" xfId="0" applyBorder="1"/>
    <xf numFmtId="0" fontId="2" fillId="0" borderId="38" xfId="0" applyFont="1" applyBorder="1" applyAlignment="1">
      <alignment horizontal="center"/>
    </xf>
    <xf numFmtId="0" fontId="2" fillId="0" borderId="17" xfId="0" applyFont="1" applyBorder="1" applyAlignment="1">
      <alignment horizontal="center" wrapText="1"/>
    </xf>
    <xf numFmtId="0" fontId="2" fillId="0" borderId="39" xfId="0" applyFont="1" applyBorder="1" applyAlignment="1">
      <alignment horizontal="center" wrapText="1"/>
    </xf>
    <xf numFmtId="0" fontId="0" fillId="0" borderId="38" xfId="0" applyBorder="1"/>
    <xf numFmtId="0" fontId="2" fillId="0" borderId="17" xfId="0" applyFont="1" applyBorder="1"/>
    <xf numFmtId="0" fontId="2" fillId="0" borderId="39" xfId="0" applyFont="1" applyBorder="1"/>
    <xf numFmtId="165" fontId="0" fillId="0" borderId="16" xfId="0" applyNumberFormat="1" applyBorder="1"/>
    <xf numFmtId="0" fontId="2" fillId="0" borderId="30" xfId="0" applyFont="1" applyBorder="1" applyAlignment="1">
      <alignment wrapText="1"/>
    </xf>
    <xf numFmtId="165" fontId="2" fillId="0" borderId="36" xfId="0" applyNumberFormat="1" applyFont="1" applyBorder="1" applyAlignment="1">
      <alignment horizontal="right"/>
    </xf>
    <xf numFmtId="4" fontId="0" fillId="0" borderId="36" xfId="0" applyNumberFormat="1" applyBorder="1"/>
    <xf numFmtId="0" fontId="0" fillId="0" borderId="17" xfId="0" applyBorder="1"/>
    <xf numFmtId="0" fontId="0" fillId="0" borderId="51" xfId="0" applyBorder="1"/>
    <xf numFmtId="3" fontId="0" fillId="0" borderId="9" xfId="0" applyNumberFormat="1" applyBorder="1"/>
    <xf numFmtId="164" fontId="0" fillId="0" borderId="35" xfId="0" applyNumberFormat="1" applyBorder="1"/>
    <xf numFmtId="0" fontId="12" fillId="0" borderId="4" xfId="0" applyFont="1" applyBorder="1" applyAlignment="1">
      <alignment horizontal="center" wrapText="1"/>
    </xf>
    <xf numFmtId="0" fontId="12" fillId="0" borderId="52" xfId="0" applyFont="1" applyBorder="1" applyAlignment="1">
      <alignment horizontal="center"/>
    </xf>
    <xf numFmtId="0" fontId="12" fillId="0" borderId="54" xfId="0" applyFont="1" applyBorder="1" applyAlignment="1">
      <alignment horizontal="center"/>
    </xf>
    <xf numFmtId="0" fontId="12" fillId="0" borderId="53" xfId="0" applyFont="1" applyBorder="1" applyAlignment="1">
      <alignment horizontal="center"/>
    </xf>
    <xf numFmtId="0" fontId="12" fillId="0" borderId="55" xfId="0" applyFont="1" applyBorder="1" applyAlignment="1">
      <alignment horizontal="center"/>
    </xf>
    <xf numFmtId="0" fontId="12" fillId="0" borderId="56" xfId="0" applyFont="1" applyBorder="1" applyAlignment="1">
      <alignment horizontal="center"/>
    </xf>
    <xf numFmtId="0" fontId="12" fillId="0" borderId="20" xfId="0" applyFont="1" applyBorder="1" applyAlignment="1">
      <alignment horizontal="center"/>
    </xf>
    <xf numFmtId="0" fontId="0" fillId="0" borderId="41" xfId="0" applyFont="1" applyFill="1" applyBorder="1"/>
    <xf numFmtId="0" fontId="0" fillId="0" borderId="14" xfId="0" applyBorder="1"/>
    <xf numFmtId="164" fontId="0" fillId="0" borderId="29" xfId="0" applyNumberFormat="1" applyBorder="1"/>
    <xf numFmtId="0" fontId="0" fillId="0" borderId="0" xfId="0" applyFont="1" applyFill="1" applyBorder="1"/>
    <xf numFmtId="2" fontId="2" fillId="0" borderId="0" xfId="0" applyNumberFormat="1" applyFont="1" applyBorder="1" applyAlignment="1">
      <alignment horizontal="right"/>
    </xf>
    <xf numFmtId="0" fontId="0" fillId="0" borderId="18" xfId="0" applyBorder="1"/>
    <xf numFmtId="0" fontId="0" fillId="0" borderId="13" xfId="0" applyBorder="1"/>
    <xf numFmtId="3" fontId="0" fillId="0" borderId="22" xfId="0" applyNumberFormat="1" applyBorder="1"/>
    <xf numFmtId="3" fontId="0" fillId="0" borderId="37" xfId="0" applyNumberFormat="1" applyBorder="1"/>
    <xf numFmtId="0" fontId="2" fillId="6" borderId="0" xfId="4" applyFill="1"/>
    <xf numFmtId="0" fontId="2" fillId="0" borderId="0" xfId="4"/>
    <xf numFmtId="0" fontId="8" fillId="0" borderId="0" xfId="4" applyFont="1"/>
    <xf numFmtId="2" fontId="2" fillId="0" borderId="0" xfId="4" applyNumberFormat="1"/>
    <xf numFmtId="2" fontId="12" fillId="0" borderId="0" xfId="4" applyNumberFormat="1" applyFont="1"/>
    <xf numFmtId="0" fontId="12" fillId="0" borderId="5" xfId="4" applyFont="1" applyBorder="1" applyAlignment="1">
      <alignment horizontal="center"/>
    </xf>
    <xf numFmtId="0" fontId="12" fillId="0" borderId="5" xfId="4" applyFont="1" applyBorder="1" applyAlignment="1">
      <alignment horizontal="left"/>
    </xf>
    <xf numFmtId="0" fontId="2" fillId="0" borderId="5" xfId="4" applyBorder="1"/>
    <xf numFmtId="2" fontId="12" fillId="0" borderId="5" xfId="4" applyNumberFormat="1" applyFont="1" applyBorder="1" applyAlignment="1">
      <alignment horizontal="center"/>
    </xf>
    <xf numFmtId="0" fontId="12" fillId="0" borderId="0" xfId="4" applyFont="1" applyAlignment="1">
      <alignment horizontal="center"/>
    </xf>
    <xf numFmtId="2" fontId="2" fillId="0" borderId="0" xfId="4" applyNumberFormat="1" applyAlignment="1">
      <alignment horizontal="center"/>
    </xf>
    <xf numFmtId="0" fontId="2" fillId="0" borderId="1" xfId="4" applyBorder="1"/>
    <xf numFmtId="0" fontId="12" fillId="0" borderId="1" xfId="4" applyFont="1" applyBorder="1"/>
    <xf numFmtId="165" fontId="2" fillId="0" borderId="1" xfId="4" applyNumberFormat="1" applyBorder="1"/>
    <xf numFmtId="165" fontId="19" fillId="7" borderId="1" xfId="4" applyNumberFormat="1" applyFont="1" applyFill="1" applyBorder="1"/>
    <xf numFmtId="0" fontId="12" fillId="0" borderId="0" xfId="4" applyFont="1"/>
    <xf numFmtId="1" fontId="2" fillId="0" borderId="0" xfId="4" applyNumberFormat="1"/>
    <xf numFmtId="164" fontId="19" fillId="7" borderId="0" xfId="4" applyNumberFormat="1" applyFont="1" applyFill="1"/>
    <xf numFmtId="4" fontId="2" fillId="0" borderId="0" xfId="4" applyNumberFormat="1"/>
    <xf numFmtId="4" fontId="12" fillId="8" borderId="0" xfId="4" applyNumberFormat="1" applyFont="1" applyFill="1"/>
    <xf numFmtId="164" fontId="19" fillId="0" borderId="0" xfId="4" applyNumberFormat="1" applyFont="1"/>
    <xf numFmtId="4" fontId="12" fillId="0" borderId="0" xfId="4" applyNumberFormat="1" applyFont="1"/>
    <xf numFmtId="0" fontId="2" fillId="0" borderId="0" xfId="4" quotePrefix="1"/>
    <xf numFmtId="0" fontId="2" fillId="0" borderId="0" xfId="4" applyAlignment="1">
      <alignment horizontal="center"/>
    </xf>
    <xf numFmtId="164" fontId="2" fillId="0" borderId="0" xfId="4" applyNumberFormat="1"/>
    <xf numFmtId="1" fontId="12" fillId="0" borderId="0" xfId="4" applyNumberFormat="1" applyFont="1"/>
    <xf numFmtId="0" fontId="19" fillId="7" borderId="0" xfId="4" applyFont="1" applyFill="1"/>
    <xf numFmtId="2" fontId="12" fillId="8" borderId="0" xfId="4" applyNumberFormat="1" applyFont="1" applyFill="1"/>
    <xf numFmtId="10" fontId="2" fillId="0" borderId="0" xfId="4" applyNumberFormat="1"/>
    <xf numFmtId="0" fontId="19" fillId="0" borderId="0" xfId="4" applyFont="1"/>
    <xf numFmtId="0" fontId="6" fillId="0" borderId="0" xfId="4" applyFont="1"/>
    <xf numFmtId="2" fontId="12" fillId="9" borderId="0" xfId="4" applyNumberFormat="1" applyFont="1" applyFill="1"/>
    <xf numFmtId="165" fontId="2" fillId="0" borderId="0" xfId="4" applyNumberFormat="1"/>
    <xf numFmtId="165" fontId="19" fillId="7" borderId="0" xfId="4" applyNumberFormat="1" applyFont="1" applyFill="1"/>
    <xf numFmtId="167" fontId="19" fillId="7" borderId="0" xfId="4" applyNumberFormat="1" applyFont="1" applyFill="1"/>
    <xf numFmtId="165" fontId="12" fillId="7" borderId="0" xfId="4" applyNumberFormat="1" applyFont="1" applyFill="1"/>
    <xf numFmtId="168" fontId="19" fillId="7" borderId="0" xfId="4" applyNumberFormat="1" applyFont="1" applyFill="1"/>
    <xf numFmtId="2" fontId="19" fillId="7" borderId="0" xfId="4" applyNumberFormat="1" applyFont="1" applyFill="1"/>
    <xf numFmtId="6" fontId="2" fillId="0" borderId="0" xfId="4" applyNumberFormat="1"/>
    <xf numFmtId="2" fontId="12" fillId="10" borderId="0" xfId="4" applyNumberFormat="1" applyFont="1" applyFill="1"/>
    <xf numFmtId="164" fontId="12" fillId="11" borderId="0" xfId="4" applyNumberFormat="1" applyFont="1" applyFill="1"/>
    <xf numFmtId="3" fontId="19" fillId="7" borderId="0" xfId="4" applyNumberFormat="1" applyFont="1" applyFill="1"/>
    <xf numFmtId="2" fontId="12" fillId="12" borderId="0" xfId="4" applyNumberFormat="1" applyFont="1" applyFill="1"/>
    <xf numFmtId="16" fontId="2" fillId="0" borderId="0" xfId="4" applyNumberFormat="1"/>
    <xf numFmtId="2" fontId="12" fillId="2" borderId="0" xfId="4" applyNumberFormat="1" applyFont="1" applyFill="1"/>
    <xf numFmtId="0" fontId="19" fillId="7" borderId="0" xfId="4" applyFont="1" applyFill="1" applyAlignment="1">
      <alignment horizontal="right"/>
    </xf>
    <xf numFmtId="10" fontId="19" fillId="7" borderId="0" xfId="4" applyNumberFormat="1" applyFont="1" applyFill="1"/>
    <xf numFmtId="2" fontId="2" fillId="12" borderId="0" xfId="4" applyNumberFormat="1" applyFill="1"/>
    <xf numFmtId="0" fontId="19" fillId="0" borderId="0" xfId="4" applyFont="1" applyAlignment="1">
      <alignment horizontal="right"/>
    </xf>
    <xf numFmtId="10" fontId="19" fillId="0" borderId="0" xfId="4" applyNumberFormat="1" applyFont="1"/>
    <xf numFmtId="49" fontId="2" fillId="0" borderId="0" xfId="4" applyNumberFormat="1"/>
    <xf numFmtId="0" fontId="19" fillId="7" borderId="0" xfId="4" applyFont="1" applyFill="1" applyAlignment="1">
      <alignment horizontal="center"/>
    </xf>
    <xf numFmtId="164" fontId="9" fillId="7" borderId="16" xfId="4" applyNumberFormat="1" applyFont="1" applyFill="1" applyBorder="1" applyProtection="1">
      <protection locked="0"/>
    </xf>
    <xf numFmtId="9" fontId="19" fillId="7" borderId="0" xfId="5" applyFont="1" applyFill="1" applyAlignment="1">
      <alignment horizontal="center"/>
    </xf>
    <xf numFmtId="4" fontId="2" fillId="8" borderId="0" xfId="4" applyNumberFormat="1" applyFill="1"/>
    <xf numFmtId="4" fontId="2" fillId="0" borderId="0" xfId="4" quotePrefix="1" applyNumberFormat="1"/>
    <xf numFmtId="4" fontId="12" fillId="10" borderId="0" xfId="4" applyNumberFormat="1" applyFont="1" applyFill="1"/>
    <xf numFmtId="4" fontId="12" fillId="0" borderId="0" xfId="4" quotePrefix="1" applyNumberFormat="1" applyFont="1"/>
    <xf numFmtId="0" fontId="12" fillId="0" borderId="5" xfId="4" applyFont="1" applyBorder="1"/>
    <xf numFmtId="4" fontId="2" fillId="0" borderId="5" xfId="4" applyNumberFormat="1" applyBorder="1"/>
    <xf numFmtId="4" fontId="12" fillId="0" borderId="5" xfId="4" applyNumberFormat="1" applyFont="1" applyBorder="1"/>
    <xf numFmtId="4" fontId="2" fillId="0" borderId="1" xfId="4" applyNumberFormat="1" applyBorder="1"/>
    <xf numFmtId="4" fontId="12" fillId="0" borderId="1" xfId="4" applyNumberFormat="1" applyFont="1" applyBorder="1"/>
    <xf numFmtId="10" fontId="12" fillId="0" borderId="1" xfId="4" applyNumberFormat="1" applyFont="1" applyBorder="1"/>
    <xf numFmtId="0" fontId="22" fillId="0" borderId="0" xfId="4" applyFont="1"/>
    <xf numFmtId="0" fontId="22" fillId="7" borderId="0" xfId="4" applyFont="1" applyFill="1"/>
    <xf numFmtId="2" fontId="22" fillId="0" borderId="0" xfId="4" applyNumberFormat="1" applyFont="1"/>
    <xf numFmtId="0" fontId="22" fillId="8" borderId="0" xfId="4" applyFont="1" applyFill="1"/>
    <xf numFmtId="0" fontId="22" fillId="10" borderId="0" xfId="4" applyFont="1" applyFill="1"/>
    <xf numFmtId="0" fontId="23" fillId="0" borderId="0" xfId="4" applyFont="1"/>
    <xf numFmtId="0" fontId="22" fillId="0" borderId="0" xfId="4" quotePrefix="1" applyFont="1"/>
    <xf numFmtId="1" fontId="22" fillId="7" borderId="0" xfId="4" applyNumberFormat="1" applyFont="1" applyFill="1"/>
    <xf numFmtId="2" fontId="22" fillId="0" borderId="0" xfId="4" quotePrefix="1" applyNumberFormat="1" applyFont="1"/>
    <xf numFmtId="1" fontId="22" fillId="0" borderId="0" xfId="4" applyNumberFormat="1" applyFont="1"/>
    <xf numFmtId="0" fontId="23" fillId="0" borderId="0" xfId="4" applyFont="1" applyAlignment="1">
      <alignment horizontal="right"/>
    </xf>
    <xf numFmtId="0" fontId="24" fillId="0" borderId="0" xfId="4" applyFont="1"/>
    <xf numFmtId="0" fontId="0" fillId="0" borderId="20" xfId="0" applyBorder="1"/>
    <xf numFmtId="0" fontId="0" fillId="0" borderId="21" xfId="0" applyBorder="1"/>
    <xf numFmtId="164" fontId="0" fillId="0" borderId="44" xfId="0" applyNumberFormat="1" applyBorder="1"/>
    <xf numFmtId="164" fontId="0" fillId="0" borderId="45" xfId="0" applyNumberFormat="1" applyBorder="1"/>
    <xf numFmtId="164" fontId="11" fillId="0" borderId="47" xfId="0" applyNumberFormat="1" applyFont="1" applyBorder="1"/>
    <xf numFmtId="164" fontId="11" fillId="0" borderId="26" xfId="0" applyNumberFormat="1" applyFont="1" applyBorder="1"/>
    <xf numFmtId="0" fontId="0" fillId="0" borderId="38" xfId="0" applyBorder="1" applyAlignment="1">
      <alignment horizontal="right"/>
    </xf>
    <xf numFmtId="164" fontId="0" fillId="0" borderId="17" xfId="0" applyNumberFormat="1" applyBorder="1"/>
    <xf numFmtId="164" fontId="0" fillId="0" borderId="39" xfId="0" applyNumberFormat="1" applyBorder="1"/>
    <xf numFmtId="0" fontId="0" fillId="0" borderId="29" xfId="0" applyBorder="1" applyAlignment="1">
      <alignment horizontal="right"/>
    </xf>
    <xf numFmtId="4" fontId="0" fillId="0" borderId="16" xfId="0" applyNumberFormat="1" applyBorder="1"/>
    <xf numFmtId="4" fontId="0" fillId="0" borderId="30" xfId="0" applyNumberFormat="1" applyBorder="1"/>
    <xf numFmtId="4" fontId="0" fillId="0" borderId="45" xfId="0" applyNumberFormat="1" applyBorder="1"/>
    <xf numFmtId="4" fontId="0" fillId="0" borderId="17" xfId="0" applyNumberFormat="1" applyBorder="1"/>
    <xf numFmtId="4" fontId="0" fillId="0" borderId="39" xfId="0" applyNumberFormat="1" applyBorder="1"/>
    <xf numFmtId="4" fontId="11" fillId="0" borderId="47" xfId="0" applyNumberFormat="1" applyFont="1" applyBorder="1"/>
    <xf numFmtId="0" fontId="12" fillId="0" borderId="21" xfId="0" applyFont="1" applyBorder="1" applyAlignment="1">
      <alignment horizontal="center"/>
    </xf>
    <xf numFmtId="0" fontId="12" fillId="0" borderId="22" xfId="0" applyFont="1" applyBorder="1" applyAlignment="1">
      <alignment horizontal="center"/>
    </xf>
    <xf numFmtId="4" fontId="2" fillId="0" borderId="16" xfId="0" applyNumberFormat="1" applyFont="1" applyBorder="1" applyAlignment="1">
      <alignment horizontal="center"/>
    </xf>
    <xf numFmtId="166" fontId="12" fillId="0" borderId="0" xfId="0" applyNumberFormat="1" applyFont="1" applyBorder="1"/>
    <xf numFmtId="164" fontId="17" fillId="0" borderId="0" xfId="0" applyNumberFormat="1" applyFont="1" applyBorder="1" applyAlignment="1">
      <alignment horizontal="center" textRotation="90" wrapText="1"/>
    </xf>
    <xf numFmtId="164" fontId="12" fillId="0" borderId="0" xfId="0" applyNumberFormat="1" applyFont="1" applyBorder="1" applyAlignment="1">
      <alignment wrapText="1"/>
    </xf>
    <xf numFmtId="166" fontId="12" fillId="0" borderId="0" xfId="0" applyNumberFormat="1" applyFont="1" applyBorder="1" applyAlignment="1">
      <alignment wrapText="1"/>
    </xf>
    <xf numFmtId="164" fontId="14" fillId="0" borderId="16" xfId="0" applyNumberFormat="1" applyFont="1" applyFill="1" applyBorder="1" applyAlignment="1">
      <alignment wrapText="1"/>
    </xf>
    <xf numFmtId="164" fontId="14" fillId="0" borderId="36" xfId="0" applyNumberFormat="1" applyFont="1" applyBorder="1" applyAlignment="1">
      <alignment wrapText="1"/>
    </xf>
    <xf numFmtId="0" fontId="2" fillId="0" borderId="22" xfId="0" applyFont="1" applyBorder="1" applyAlignment="1">
      <alignment wrapText="1"/>
    </xf>
    <xf numFmtId="0" fontId="12" fillId="0" borderId="58" xfId="0" applyFont="1" applyBorder="1" applyAlignment="1">
      <alignment horizontal="center"/>
    </xf>
    <xf numFmtId="164" fontId="0" fillId="0" borderId="8" xfId="0" applyNumberFormat="1" applyBorder="1"/>
    <xf numFmtId="2" fontId="2" fillId="0" borderId="49" xfId="0" applyNumberFormat="1" applyFont="1" applyBorder="1" applyAlignment="1">
      <alignment horizontal="right"/>
    </xf>
    <xf numFmtId="2" fontId="2" fillId="0" borderId="50" xfId="0" applyNumberFormat="1" applyFont="1" applyBorder="1" applyAlignment="1">
      <alignment horizontal="right"/>
    </xf>
    <xf numFmtId="164" fontId="0" fillId="0" borderId="5" xfId="0" applyNumberFormat="1" applyBorder="1"/>
    <xf numFmtId="164" fontId="0" fillId="0" borderId="23" xfId="0" applyNumberFormat="1" applyBorder="1"/>
    <xf numFmtId="164" fontId="0" fillId="0" borderId="12" xfId="0" applyNumberFormat="1" applyBorder="1"/>
    <xf numFmtId="164" fontId="0" fillId="0" borderId="19" xfId="0" applyNumberFormat="1" applyBorder="1"/>
    <xf numFmtId="164" fontId="0" fillId="0" borderId="24" xfId="0" applyNumberFormat="1" applyBorder="1"/>
    <xf numFmtId="4" fontId="0" fillId="0" borderId="48" xfId="0" applyNumberFormat="1" applyBorder="1"/>
    <xf numFmtId="4" fontId="0" fillId="0" borderId="49" xfId="0" applyNumberFormat="1" applyBorder="1"/>
    <xf numFmtId="4" fontId="0" fillId="0" borderId="50" xfId="0" applyNumberFormat="1" applyBorder="1"/>
    <xf numFmtId="2" fontId="2" fillId="0" borderId="51" xfId="0" applyNumberFormat="1" applyFont="1" applyFill="1" applyBorder="1" applyAlignment="1">
      <alignment horizontal="right"/>
    </xf>
    <xf numFmtId="2" fontId="2" fillId="0" borderId="9" xfId="0" applyNumberFormat="1" applyFont="1" applyFill="1" applyBorder="1" applyAlignment="1">
      <alignment horizontal="right"/>
    </xf>
    <xf numFmtId="2" fontId="2" fillId="0" borderId="9" xfId="0" applyNumberFormat="1" applyFont="1" applyBorder="1" applyAlignment="1">
      <alignment horizontal="right"/>
    </xf>
    <xf numFmtId="2" fontId="2" fillId="0" borderId="42" xfId="0" applyNumberFormat="1" applyFont="1" applyBorder="1" applyAlignment="1">
      <alignment horizontal="right"/>
    </xf>
    <xf numFmtId="2" fontId="2" fillId="0" borderId="48" xfId="0" applyNumberFormat="1" applyFont="1" applyBorder="1" applyAlignment="1">
      <alignment horizontal="right"/>
    </xf>
    <xf numFmtId="0" fontId="0" fillId="0" borderId="43" xfId="0" applyBorder="1" applyAlignment="1">
      <alignment horizontal="right"/>
    </xf>
    <xf numFmtId="0" fontId="0" fillId="0" borderId="44" xfId="0" applyBorder="1" applyAlignment="1">
      <alignment horizontal="right"/>
    </xf>
    <xf numFmtId="0" fontId="11" fillId="0" borderId="25" xfId="0" applyFont="1" applyBorder="1" applyAlignment="1">
      <alignment horizontal="right"/>
    </xf>
    <xf numFmtId="0" fontId="11" fillId="0" borderId="47" xfId="0" applyFont="1" applyBorder="1" applyAlignment="1">
      <alignment horizontal="right"/>
    </xf>
    <xf numFmtId="0" fontId="0" fillId="0" borderId="29" xfId="0" applyBorder="1" applyAlignment="1">
      <alignment horizontal="right"/>
    </xf>
    <xf numFmtId="0" fontId="0" fillId="0" borderId="16" xfId="0" applyBorder="1" applyAlignment="1">
      <alignment horizontal="right"/>
    </xf>
    <xf numFmtId="0" fontId="0" fillId="0" borderId="38" xfId="0" applyBorder="1" applyAlignment="1">
      <alignment horizontal="right"/>
    </xf>
    <xf numFmtId="0" fontId="0" fillId="0" borderId="17" xfId="0" applyBorder="1" applyAlignment="1">
      <alignment horizontal="right"/>
    </xf>
    <xf numFmtId="166" fontId="12" fillId="0" borderId="10" xfId="0" applyNumberFormat="1" applyFont="1" applyBorder="1" applyAlignment="1">
      <alignment horizontal="center"/>
    </xf>
    <xf numFmtId="166" fontId="12" fillId="0" borderId="11" xfId="0" applyNumberFormat="1" applyFont="1" applyBorder="1" applyAlignment="1">
      <alignment horizontal="center"/>
    </xf>
    <xf numFmtId="166" fontId="12" fillId="0" borderId="12" xfId="0" applyNumberFormat="1" applyFont="1" applyBorder="1" applyAlignment="1">
      <alignment horizontal="center"/>
    </xf>
    <xf numFmtId="166" fontId="12" fillId="0" borderId="13" xfId="0" applyNumberFormat="1" applyFont="1" applyBorder="1" applyAlignment="1">
      <alignment horizontal="center"/>
    </xf>
    <xf numFmtId="166" fontId="12" fillId="0" borderId="14" xfId="0" applyNumberFormat="1" applyFont="1" applyBorder="1" applyAlignment="1">
      <alignment horizontal="center"/>
    </xf>
    <xf numFmtId="166" fontId="12" fillId="0" borderId="15" xfId="0" applyNumberFormat="1" applyFont="1" applyBorder="1" applyAlignment="1">
      <alignment horizontal="center"/>
    </xf>
    <xf numFmtId="166" fontId="12" fillId="0" borderId="10" xfId="0" applyNumberFormat="1" applyFont="1" applyBorder="1" applyAlignment="1">
      <alignment horizontal="left"/>
    </xf>
    <xf numFmtId="166" fontId="12" fillId="0" borderId="11" xfId="0" applyNumberFormat="1" applyFont="1" applyBorder="1" applyAlignment="1">
      <alignment horizontal="left"/>
    </xf>
    <xf numFmtId="166" fontId="12" fillId="0" borderId="12" xfId="0" applyNumberFormat="1" applyFont="1" applyBorder="1" applyAlignment="1">
      <alignment horizontal="left"/>
    </xf>
    <xf numFmtId="166" fontId="12" fillId="0" borderId="20" xfId="0" applyNumberFormat="1" applyFont="1" applyBorder="1" applyAlignment="1">
      <alignment horizontal="left"/>
    </xf>
    <xf numFmtId="166" fontId="12" fillId="0" borderId="21" xfId="0" applyNumberFormat="1" applyFont="1" applyBorder="1" applyAlignment="1">
      <alignment horizontal="left"/>
    </xf>
    <xf numFmtId="166" fontId="12" fillId="0" borderId="22" xfId="0" applyNumberFormat="1" applyFont="1" applyBorder="1" applyAlignment="1">
      <alignment horizontal="left"/>
    </xf>
    <xf numFmtId="0" fontId="2" fillId="0" borderId="43" xfId="0" applyFont="1" applyBorder="1" applyAlignment="1">
      <alignment horizontal="right"/>
    </xf>
    <xf numFmtId="166" fontId="12" fillId="0" borderId="23" xfId="0" applyNumberFormat="1" applyFont="1" applyBorder="1" applyAlignment="1">
      <alignment horizontal="center"/>
    </xf>
    <xf numFmtId="166" fontId="12" fillId="0" borderId="24" xfId="0" applyNumberFormat="1" applyFont="1" applyBorder="1" applyAlignment="1">
      <alignment horizontal="center"/>
    </xf>
    <xf numFmtId="164" fontId="17" fillId="0" borderId="48" xfId="0" applyNumberFormat="1" applyFont="1" applyBorder="1" applyAlignment="1">
      <alignment horizontal="center" textRotation="90" wrapText="1"/>
    </xf>
    <xf numFmtId="164" fontId="17" fillId="0" borderId="49" xfId="0" applyNumberFormat="1" applyFont="1" applyBorder="1" applyAlignment="1">
      <alignment horizontal="center" textRotation="90" wrapText="1"/>
    </xf>
    <xf numFmtId="164" fontId="17" fillId="0" borderId="50" xfId="0" applyNumberFormat="1" applyFont="1" applyBorder="1" applyAlignment="1">
      <alignment horizontal="center" textRotation="90" wrapText="1"/>
    </xf>
    <xf numFmtId="166" fontId="12" fillId="0" borderId="28" xfId="0" applyNumberFormat="1" applyFont="1" applyBorder="1" applyAlignment="1">
      <alignment horizontal="center"/>
    </xf>
    <xf numFmtId="0" fontId="0" fillId="0" borderId="21" xfId="0" applyBorder="1" applyAlignment="1">
      <alignment horizontal="center" wrapText="1"/>
    </xf>
    <xf numFmtId="0" fontId="0" fillId="0" borderId="23" xfId="0" applyBorder="1" applyAlignment="1">
      <alignment horizontal="center"/>
    </xf>
    <xf numFmtId="0" fontId="0" fillId="0" borderId="28" xfId="0" applyBorder="1" applyAlignment="1">
      <alignment horizontal="center"/>
    </xf>
    <xf numFmtId="0" fontId="0" fillId="0" borderId="24" xfId="0" applyBorder="1" applyAlignment="1">
      <alignment horizontal="center"/>
    </xf>
    <xf numFmtId="0" fontId="2" fillId="0" borderId="23" xfId="0" applyFont="1" applyBorder="1" applyAlignment="1">
      <alignment horizontal="center" wrapText="1"/>
    </xf>
    <xf numFmtId="0" fontId="0" fillId="0" borderId="28" xfId="0" applyBorder="1" applyAlignment="1">
      <alignment horizontal="center" wrapText="1"/>
    </xf>
    <xf numFmtId="0" fontId="0" fillId="0" borderId="24" xfId="0" applyBorder="1" applyAlignment="1">
      <alignment horizontal="center" wrapText="1"/>
    </xf>
    <xf numFmtId="0" fontId="0" fillId="0" borderId="23" xfId="0" applyBorder="1" applyAlignment="1">
      <alignment horizontal="center" wrapText="1"/>
    </xf>
    <xf numFmtId="0" fontId="12" fillId="0" borderId="25" xfId="0" applyFont="1" applyBorder="1" applyAlignment="1">
      <alignment horizontal="center" wrapText="1"/>
    </xf>
    <xf numFmtId="0" fontId="12" fillId="0" borderId="47" xfId="0" applyFont="1" applyBorder="1" applyAlignment="1">
      <alignment horizontal="center" wrapText="1"/>
    </xf>
    <xf numFmtId="0" fontId="12" fillId="0" borderId="26" xfId="0" applyFont="1" applyBorder="1" applyAlignment="1">
      <alignment horizontal="center" wrapText="1"/>
    </xf>
    <xf numFmtId="0" fontId="12" fillId="0" borderId="57" xfId="0" applyFont="1" applyFill="1" applyBorder="1" applyAlignment="1">
      <alignment horizontal="center" wrapText="1"/>
    </xf>
    <xf numFmtId="0" fontId="12" fillId="0" borderId="40" xfId="0" applyFont="1" applyFill="1" applyBorder="1" applyAlignment="1">
      <alignment horizontal="center" wrapText="1"/>
    </xf>
    <xf numFmtId="0" fontId="12" fillId="0" borderId="57" xfId="0" applyFont="1" applyBorder="1" applyAlignment="1">
      <alignment horizontal="center"/>
    </xf>
    <xf numFmtId="0" fontId="12" fillId="0" borderId="40" xfId="0" applyFont="1" applyBorder="1" applyAlignment="1">
      <alignment horizontal="center"/>
    </xf>
    <xf numFmtId="0" fontId="12" fillId="0" borderId="41" xfId="0" applyFont="1" applyBorder="1" applyAlignment="1">
      <alignment horizontal="center"/>
    </xf>
    <xf numFmtId="0" fontId="2" fillId="0" borderId="17" xfId="0" applyFont="1" applyBorder="1" applyAlignment="1">
      <alignment horizontal="center"/>
    </xf>
    <xf numFmtId="0" fontId="2" fillId="0" borderId="39" xfId="0" applyFont="1" applyBorder="1" applyAlignment="1">
      <alignment horizontal="center"/>
    </xf>
    <xf numFmtId="0" fontId="2" fillId="0" borderId="23" xfId="0" applyFont="1" applyBorder="1" applyAlignment="1">
      <alignment horizontal="center"/>
    </xf>
    <xf numFmtId="0" fontId="2" fillId="0" borderId="28"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0" fillId="0" borderId="47" xfId="0" applyBorder="1" applyAlignment="1">
      <alignment horizontal="center"/>
    </xf>
    <xf numFmtId="0" fontId="0" fillId="0" borderId="26" xfId="0" applyBorder="1" applyAlignment="1">
      <alignment horizontal="center"/>
    </xf>
    <xf numFmtId="0" fontId="12" fillId="0" borderId="57" xfId="0" applyFont="1" applyBorder="1" applyAlignment="1">
      <alignment horizontal="center" wrapText="1"/>
    </xf>
    <xf numFmtId="0" fontId="12" fillId="0" borderId="40" xfId="0" applyFont="1" applyBorder="1" applyAlignment="1">
      <alignment horizontal="center" wrapText="1"/>
    </xf>
    <xf numFmtId="0" fontId="12" fillId="0" borderId="41" xfId="0" applyFont="1"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23" xfId="3" applyBorder="1" applyAlignment="1">
      <alignment horizontal="center"/>
    </xf>
    <xf numFmtId="0" fontId="1" fillId="0" borderId="28" xfId="3" applyBorder="1" applyAlignment="1">
      <alignment horizontal="center"/>
    </xf>
    <xf numFmtId="0" fontId="1" fillId="0" borderId="24" xfId="3"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left" wrapText="1"/>
    </xf>
    <xf numFmtId="14" fontId="12" fillId="0" borderId="0" xfId="4" quotePrefix="1" applyNumberFormat="1" applyFont="1" applyAlignment="1">
      <alignment horizontal="right"/>
    </xf>
    <xf numFmtId="0" fontId="12" fillId="0" borderId="0" xfId="4" applyFont="1" applyAlignment="1">
      <alignment horizontal="right"/>
    </xf>
    <xf numFmtId="0" fontId="12" fillId="0" borderId="5" xfId="4" applyFont="1" applyBorder="1" applyAlignment="1">
      <alignment horizontal="center"/>
    </xf>
    <xf numFmtId="165" fontId="2" fillId="0" borderId="0" xfId="0" applyNumberFormat="1" applyFont="1" applyBorder="1" applyAlignment="1">
      <alignment horizontal="right"/>
    </xf>
    <xf numFmtId="4" fontId="0" fillId="0" borderId="0" xfId="0" applyNumberFormat="1" applyBorder="1"/>
    <xf numFmtId="0" fontId="2" fillId="0" borderId="21" xfId="0" applyFont="1" applyBorder="1" applyAlignment="1">
      <alignment horizontal="center"/>
    </xf>
    <xf numFmtId="0" fontId="0" fillId="0" borderId="16" xfId="0"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29" xfId="0" applyFont="1" applyBorder="1" applyAlignment="1">
      <alignment horizontal="center" wrapText="1"/>
    </xf>
    <xf numFmtId="0" fontId="0" fillId="0" borderId="30" xfId="0" applyBorder="1" applyAlignment="1">
      <alignment horizontal="center" wrapText="1"/>
    </xf>
    <xf numFmtId="10" fontId="0" fillId="0" borderId="29" xfId="0" applyNumberFormat="1" applyBorder="1"/>
    <xf numFmtId="10" fontId="0" fillId="0" borderId="35" xfId="0" applyNumberFormat="1" applyBorder="1"/>
    <xf numFmtId="0" fontId="0" fillId="0" borderId="27" xfId="0" applyBorder="1"/>
    <xf numFmtId="0" fontId="0" fillId="0" borderId="3" xfId="0" applyBorder="1"/>
    <xf numFmtId="0" fontId="0" fillId="0" borderId="46" xfId="0" applyBorder="1"/>
    <xf numFmtId="4" fontId="0" fillId="0" borderId="0" xfId="0" applyNumberFormat="1"/>
    <xf numFmtId="4" fontId="0" fillId="0" borderId="22" xfId="0" applyNumberFormat="1" applyBorder="1"/>
    <xf numFmtId="4" fontId="0" fillId="0" borderId="37" xfId="0" applyNumberFormat="1" applyBorder="1"/>
    <xf numFmtId="0" fontId="0" fillId="0" borderId="35" xfId="0" applyBorder="1" applyAlignment="1">
      <alignment horizontal="right"/>
    </xf>
    <xf numFmtId="0" fontId="2" fillId="0" borderId="59" xfId="0" applyFont="1" applyBorder="1" applyAlignment="1">
      <alignment horizontal="right"/>
    </xf>
    <xf numFmtId="0" fontId="0" fillId="0" borderId="7" xfId="0" applyBorder="1"/>
    <xf numFmtId="0" fontId="0" fillId="0" borderId="20" xfId="0" applyBorder="1" applyAlignment="1">
      <alignment horizontal="center" wrapText="1"/>
    </xf>
    <xf numFmtId="0" fontId="0" fillId="0" borderId="22" xfId="0" applyBorder="1" applyAlignment="1">
      <alignment horizontal="center" wrapText="1"/>
    </xf>
    <xf numFmtId="0" fontId="0" fillId="0" borderId="29" xfId="0" applyBorder="1" applyAlignment="1">
      <alignment horizontal="center" wrapText="1"/>
    </xf>
    <xf numFmtId="0" fontId="0" fillId="0" borderId="58" xfId="0" applyBorder="1"/>
    <xf numFmtId="0" fontId="0" fillId="0" borderId="62" xfId="0" applyBorder="1"/>
    <xf numFmtId="0" fontId="0" fillId="0" borderId="63" xfId="0" applyBorder="1"/>
    <xf numFmtId="0" fontId="2" fillId="0" borderId="22" xfId="0" applyFont="1" applyBorder="1" applyAlignment="1">
      <alignment horizontal="left"/>
    </xf>
    <xf numFmtId="0" fontId="0" fillId="0" borderId="30" xfId="0" applyBorder="1" applyAlignment="1">
      <alignment horizontal="left"/>
    </xf>
    <xf numFmtId="0" fontId="0" fillId="0" borderId="30" xfId="0" applyBorder="1" applyAlignment="1">
      <alignment horizontal="left"/>
    </xf>
    <xf numFmtId="0" fontId="0" fillId="0" borderId="37" xfId="0" applyBorder="1" applyAlignment="1">
      <alignment horizontal="left"/>
    </xf>
    <xf numFmtId="0" fontId="2" fillId="0" borderId="51" xfId="0" applyFont="1" applyBorder="1" applyAlignment="1">
      <alignment horizontal="left"/>
    </xf>
    <xf numFmtId="0" fontId="0" fillId="0" borderId="9" xfId="0" applyBorder="1" applyAlignment="1">
      <alignment horizontal="left"/>
    </xf>
    <xf numFmtId="0" fontId="0" fillId="0" borderId="9" xfId="0" applyBorder="1" applyAlignment="1">
      <alignment horizontal="left"/>
    </xf>
    <xf numFmtId="0" fontId="0" fillId="0" borderId="42" xfId="0" applyBorder="1" applyAlignment="1">
      <alignment horizontal="left"/>
    </xf>
    <xf numFmtId="0" fontId="12" fillId="0" borderId="60" xfId="0" applyFont="1" applyBorder="1" applyAlignment="1">
      <alignment horizontal="center"/>
    </xf>
    <xf numFmtId="0" fontId="12" fillId="0" borderId="8" xfId="0" applyFont="1" applyBorder="1" applyAlignment="1">
      <alignment horizontal="center"/>
    </xf>
    <xf numFmtId="164" fontId="0" fillId="0" borderId="61" xfId="0" applyNumberFormat="1" applyBorder="1"/>
    <xf numFmtId="0" fontId="12" fillId="0" borderId="23" xfId="0" applyFont="1" applyBorder="1" applyAlignment="1">
      <alignment horizontal="center"/>
    </xf>
    <xf numFmtId="0" fontId="12" fillId="0" borderId="28" xfId="0" applyFont="1" applyBorder="1" applyAlignment="1">
      <alignment horizontal="center"/>
    </xf>
    <xf numFmtId="0" fontId="12" fillId="0" borderId="24" xfId="0" applyFont="1" applyBorder="1" applyAlignment="1">
      <alignment horizontal="center"/>
    </xf>
  </cellXfs>
  <cellStyles count="6">
    <cellStyle name="Comma 2" xfId="1" xr:uid="{00000000-0005-0000-0000-000000000000}"/>
    <cellStyle name="Currency 2" xfId="2" xr:uid="{00000000-0005-0000-0000-000001000000}"/>
    <cellStyle name="Normal" xfId="0" builtinId="0"/>
    <cellStyle name="Normal 2" xfId="3" xr:uid="{3245FD8B-6435-4610-823C-22592ECEA514}"/>
    <cellStyle name="Normal 2 2" xfId="4" xr:uid="{A478F585-B016-4589-8D70-0B709D915E40}"/>
    <cellStyle name="Percent 2" xfId="5" xr:uid="{ACE2D2C9-56F5-435F-BCC0-96FFAE7D00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247650</xdr:colOff>
      <xdr:row>15</xdr:row>
      <xdr:rowOff>0</xdr:rowOff>
    </xdr:from>
    <xdr:to>
      <xdr:col>17</xdr:col>
      <xdr:colOff>336550</xdr:colOff>
      <xdr:row>55</xdr:row>
      <xdr:rowOff>25400</xdr:rowOff>
    </xdr:to>
    <xdr:sp macro="" textlink="">
      <xdr:nvSpPr>
        <xdr:cNvPr id="2" name="TextBox 1">
          <a:extLst>
            <a:ext uri="{FF2B5EF4-FFF2-40B4-BE49-F238E27FC236}">
              <a16:creationId xmlns:a16="http://schemas.microsoft.com/office/drawing/2014/main" id="{F6B7D66B-770F-4831-A5C3-BF72B15DA9F2}"/>
            </a:ext>
          </a:extLst>
        </xdr:cNvPr>
        <xdr:cNvSpPr txBox="1"/>
      </xdr:nvSpPr>
      <xdr:spPr>
        <a:xfrm>
          <a:off x="6451600" y="501650"/>
          <a:ext cx="6184900" cy="665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Notes for Scenario 4a: Putting a season-long cover crop into the rotation</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There are many facets to the research in the Idowu et al. paper; tillage, cover crops, and rotations. The scenario description put together states “To isolate the impact of the long term rotation, we select the PT (mouldboard and discing) and No-cover treatments for both rotations to compare the impact of the rotation on soil health indicators”.</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two rotations include (R1) which is bean-beet-sweet corn-cabbage-bean and (R2) which is bean-field corn-clover/barley cover-sweet corn-bean.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Both rotations have two years of bean production which cancel each other out in the calculation of average annual net revenue per acre for each rotation.</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Estimates of net revenue (income over variable costs) for cabbage and sweet corn come from UMass Extension and can be found at </a:t>
          </a: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https://ag.umass.edu/vegetable/fact-sheets/crop-production-budgets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Estimates of net revenue for beets comes from The Organic Farmer's Business Handbook by Richard Wiswall (numbers from it supplied to me by Robert Haddad of Cornell). Information on the economics of conventional beet production in the Northeast is not available. Based on personal communication with Robert Haddad of Cornell Extension, I have adjusted the net revenues for conventional beet production to 65% of that from organic beet production.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Estimate of net revenue for field corn (Idowu et al paper seems to indicate corn silage) is taken from the estimates from Scenarios 1 and 2.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cost of establishing and terminating the cover crop is taken from Scenario 1.</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average annual net revenue per acre for Rotation 1 is $2,191 and for Rotation 2 is $493. The difference is a reduction of $1,697 per acre per year. This represents the annual opportunity cost of using Rotation 2. The primary reasons for the difference include: </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Field corn is much less profitable that beets and cabbage.</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clover/barley cover crop does not produce any revenue and costs $85/acre to establish and terminate.</a:t>
          </a:r>
        </a:p>
        <a:p>
          <a:pPr marL="342900" marR="0" lvl="0" indent="-342900">
            <a:lnSpc>
              <a:spcPct val="107000"/>
            </a:lnSpc>
            <a:spcBef>
              <a:spcPts val="0"/>
            </a:spcBef>
            <a:spcAft>
              <a:spcPts val="80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**Heather/Lindsey – If you can tell me what this Idowu paper concludes about the impact on soil health, I can say something about the costs per unit. However, the paper has a LOT going on and does not specify all of the details. Table 4 has the results; from what I gather it seems for PT and No-Cover that WAS and SH were increased but the p&lt;0.05 is for the tillage effect not the rotation effect, so may not be relevant for this scenario that isolates the rotation effect. </a:t>
          </a:r>
        </a:p>
      </xdr:txBody>
    </xdr:sp>
    <xdr:clientData/>
  </xdr:twoCellAnchor>
  <xdr:twoCellAnchor>
    <xdr:from>
      <xdr:col>1</xdr:col>
      <xdr:colOff>19050</xdr:colOff>
      <xdr:row>1</xdr:row>
      <xdr:rowOff>38100</xdr:rowOff>
    </xdr:from>
    <xdr:to>
      <xdr:col>14</xdr:col>
      <xdr:colOff>9525</xdr:colOff>
      <xdr:row>13</xdr:row>
      <xdr:rowOff>104775</xdr:rowOff>
    </xdr:to>
    <xdr:sp macro="" textlink="">
      <xdr:nvSpPr>
        <xdr:cNvPr id="3" name="TextBox 2">
          <a:extLst>
            <a:ext uri="{FF2B5EF4-FFF2-40B4-BE49-F238E27FC236}">
              <a16:creationId xmlns:a16="http://schemas.microsoft.com/office/drawing/2014/main" id="{AFD2009A-71C8-4654-BC66-FFC47686C66E}"/>
            </a:ext>
          </a:extLst>
        </xdr:cNvPr>
        <xdr:cNvSpPr txBox="1"/>
      </xdr:nvSpPr>
      <xdr:spPr>
        <a:xfrm>
          <a:off x="1847850" y="200025"/>
          <a:ext cx="8705850" cy="2009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Scenario 4a – Vegetable production with a soil building cover crop rotation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As can be seen in the Task 2 report, this scenario is based on research published by Idowu et al. The baseline scenario is a crop rotation consisting of beans, beets, sweet corn, cabbage, and beans. The soil conserving rotation is beans, field corn, clover/vetch cover crop, sweet corn, and beans. The full economic cost is represented by the difference in average annual profit per acre across these two rotations. The baseline results in an average annual profit of $2,191, which is $1,697 greater than the soil-building crop rotation.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research did not calculate CASH scores (it predated the CASH test), but did indicate an increase in soil organic matter of 0.2 percentage points and aggregate stability of 5.1 percentage points (from 14.4 to 19.5%). This results in a cost of $247 per 0.1 percentage point increase in organic matter and $333 per 1 percentage point increase in aggregate stability.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32</xdr:row>
      <xdr:rowOff>19050</xdr:rowOff>
    </xdr:from>
    <xdr:to>
      <xdr:col>18</xdr:col>
      <xdr:colOff>495300</xdr:colOff>
      <xdr:row>49</xdr:row>
      <xdr:rowOff>66675</xdr:rowOff>
    </xdr:to>
    <xdr:sp macro="" textlink="">
      <xdr:nvSpPr>
        <xdr:cNvPr id="2" name="TextBox 1">
          <a:extLst>
            <a:ext uri="{FF2B5EF4-FFF2-40B4-BE49-F238E27FC236}">
              <a16:creationId xmlns:a16="http://schemas.microsoft.com/office/drawing/2014/main" id="{3A88BBF6-6362-495A-829B-9FE72A7B006F}"/>
            </a:ext>
          </a:extLst>
        </xdr:cNvPr>
        <xdr:cNvSpPr txBox="1"/>
      </xdr:nvSpPr>
      <xdr:spPr>
        <a:xfrm>
          <a:off x="4333875" y="5057775"/>
          <a:ext cx="9391650" cy="3209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Notes for Scenario 4b:</a:t>
          </a:r>
        </a:p>
        <a:p>
          <a:pPr lvl="0"/>
          <a:r>
            <a:rPr lang="en-US" sz="1100">
              <a:solidFill>
                <a:schemeClr val="dk1"/>
              </a:solidFill>
              <a:effectLst/>
              <a:latin typeface="+mn-lt"/>
              <a:ea typeface="+mn-ea"/>
              <a:cs typeface="+mn-cs"/>
            </a:rPr>
            <a:t>Cover crops used in research were winter rye or vetch. Winter rye planted at 100 lbs/ac and vetch at 15 lbs/ac. </a:t>
          </a:r>
        </a:p>
        <a:p>
          <a:pPr lvl="0"/>
          <a:r>
            <a:rPr lang="en-US" sz="1100">
              <a:solidFill>
                <a:schemeClr val="dk1"/>
              </a:solidFill>
              <a:effectLst/>
              <a:latin typeface="+mn-lt"/>
              <a:ea typeface="+mn-ea"/>
              <a:cs typeface="+mn-cs"/>
            </a:rPr>
            <a:t>Cost of seed from Bordeau Brothers in NY (518-298-8877). Did not have a bulk price for winter rye seed yet, but was $0.25/lb in 2021 and they thought it could be 50% more in 2022, which would be $0.375/lb. Price of vetch seed was found from internet search results which averaged 2.24/lb.</a:t>
          </a:r>
        </a:p>
        <a:p>
          <a:pPr lvl="0"/>
          <a:r>
            <a:rPr lang="en-US" sz="1100">
              <a:solidFill>
                <a:schemeClr val="dk1"/>
              </a:solidFill>
              <a:effectLst/>
              <a:latin typeface="+mn-lt"/>
              <a:ea typeface="+mn-ea"/>
              <a:cs typeface="+mn-cs"/>
            </a:rPr>
            <a:t>The custom rates for planting (drill or broadcast) are the same as used in other scenarios.</a:t>
          </a:r>
        </a:p>
        <a:p>
          <a:pPr lvl="0"/>
          <a:r>
            <a:rPr lang="en-US" sz="1100">
              <a:solidFill>
                <a:schemeClr val="dk1"/>
              </a:solidFill>
              <a:effectLst/>
              <a:latin typeface="+mn-lt"/>
              <a:ea typeface="+mn-ea"/>
              <a:cs typeface="+mn-cs"/>
            </a:rPr>
            <a:t>The total cost of winter rye cover crop is $85.50/ac and $81.10/ac for vetch.</a:t>
          </a:r>
        </a:p>
        <a:p>
          <a:pPr lvl="0"/>
          <a:r>
            <a:rPr lang="en-US" sz="1100">
              <a:solidFill>
                <a:schemeClr val="dk1"/>
              </a:solidFill>
              <a:effectLst/>
              <a:latin typeface="+mn-lt"/>
              <a:ea typeface="+mn-ea"/>
              <a:cs typeface="+mn-cs"/>
            </a:rPr>
            <a:t>The tab labeled “4b Tillage” shows the cost per acre for full tillage, zone tillage, and no-till. </a:t>
          </a:r>
        </a:p>
        <a:p>
          <a:pPr lvl="0"/>
          <a:r>
            <a:rPr lang="en-US" sz="1100">
              <a:solidFill>
                <a:schemeClr val="dk1"/>
              </a:solidFill>
              <a:effectLst/>
              <a:latin typeface="+mn-lt"/>
              <a:ea typeface="+mn-ea"/>
              <a:cs typeface="+mn-cs"/>
            </a:rPr>
            <a:t>The Idowu et al. paper describes plow-till (PT) as moldboard plowing and disc harrowing. Assuming one pass of each for a total cost of $36/ac. </a:t>
          </a:r>
        </a:p>
        <a:p>
          <a:pPr lvl="0"/>
          <a:r>
            <a:rPr lang="en-US" sz="1100">
              <a:solidFill>
                <a:schemeClr val="dk1"/>
              </a:solidFill>
              <a:effectLst/>
              <a:latin typeface="+mn-lt"/>
              <a:ea typeface="+mn-ea"/>
              <a:cs typeface="+mn-cs"/>
            </a:rPr>
            <a:t>I assume that their “zone-tillage” (ZT) is the same as strip-till, which is estimated to cost $16/ac. </a:t>
          </a:r>
        </a:p>
        <a:p>
          <a:pPr lvl="0"/>
          <a:r>
            <a:rPr lang="en-US" sz="1100">
              <a:solidFill>
                <a:schemeClr val="dk1"/>
              </a:solidFill>
              <a:effectLst/>
              <a:latin typeface="+mn-lt"/>
              <a:ea typeface="+mn-ea"/>
              <a:cs typeface="+mn-cs"/>
            </a:rPr>
            <a:t>I assume that ZT, as well as NT, require the use of a no-till planter, which costs an additional $2/ac more than conventional planter.</a:t>
          </a:r>
        </a:p>
        <a:p>
          <a:pPr lvl="0"/>
          <a:r>
            <a:rPr lang="en-US" sz="1100">
              <a:solidFill>
                <a:schemeClr val="dk1"/>
              </a:solidFill>
              <a:effectLst/>
              <a:latin typeface="+mn-lt"/>
              <a:ea typeface="+mn-ea"/>
              <a:cs typeface="+mn-cs"/>
            </a:rPr>
            <a:t>The small table starting in cell E4 of tab “4b Cover Crops” shows the costs for the various combinations of these two cover crops and three tillage practices. Tillage costs</a:t>
          </a:r>
          <a:r>
            <a:rPr lang="en-US" sz="1100" baseline="0">
              <a:solidFill>
                <a:schemeClr val="dk1"/>
              </a:solidFill>
              <a:effectLst/>
              <a:latin typeface="+mn-lt"/>
              <a:ea typeface="+mn-ea"/>
              <a:cs typeface="+mn-cs"/>
            </a:rPr>
            <a:t> are calculated in the Tillage tab.</a:t>
          </a:r>
          <a:endParaRPr lang="en-US" sz="1100">
            <a:solidFill>
              <a:schemeClr val="dk1"/>
            </a:solidFill>
            <a:effectLst/>
            <a:latin typeface="+mn-lt"/>
            <a:ea typeface="+mn-ea"/>
            <a:cs typeface="+mn-cs"/>
          </a:endParaRPr>
        </a:p>
        <a:p>
          <a:endParaRPr lang="en-US" sz="1100"/>
        </a:p>
      </xdr:txBody>
    </xdr:sp>
    <xdr:clientData/>
  </xdr:twoCellAnchor>
  <xdr:twoCellAnchor>
    <xdr:from>
      <xdr:col>1</xdr:col>
      <xdr:colOff>38100</xdr:colOff>
      <xdr:row>1</xdr:row>
      <xdr:rowOff>9525</xdr:rowOff>
    </xdr:from>
    <xdr:to>
      <xdr:col>16</xdr:col>
      <xdr:colOff>495300</xdr:colOff>
      <xdr:row>10</xdr:row>
      <xdr:rowOff>152400</xdr:rowOff>
    </xdr:to>
    <xdr:sp macro="" textlink="">
      <xdr:nvSpPr>
        <xdr:cNvPr id="3" name="TextBox 2">
          <a:extLst>
            <a:ext uri="{FF2B5EF4-FFF2-40B4-BE49-F238E27FC236}">
              <a16:creationId xmlns:a16="http://schemas.microsoft.com/office/drawing/2014/main" id="{18320699-F9DB-45A9-8B10-0B08892F537C}"/>
            </a:ext>
          </a:extLst>
        </xdr:cNvPr>
        <xdr:cNvSpPr txBox="1"/>
      </xdr:nvSpPr>
      <xdr:spPr>
        <a:xfrm>
          <a:off x="647700" y="171450"/>
          <a:ext cx="1185862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Scenario 4b – Vegetable production with reduced tillage and cover crops</a:t>
          </a:r>
        </a:p>
        <a:p>
          <a:endParaRPr lang="en-US" sz="1100"/>
        </a:p>
        <a:p>
          <a:pPr marL="0" marR="0" lvl="0" indent="0" defTabSz="914400" eaLnBrk="1" fontAlgn="auto" latinLnBrk="0" hangingPunct="1">
            <a:lnSpc>
              <a:spcPct val="107000"/>
            </a:lnSpc>
            <a:spcBef>
              <a:spcPts val="0"/>
            </a:spcBef>
            <a:spcAft>
              <a:spcPts val="800"/>
            </a:spcAft>
            <a:buClrTx/>
            <a:buSzTx/>
            <a:buFontTx/>
            <a:buNone/>
            <a:tabLst/>
            <a:defRPr/>
          </a:pPr>
          <a:r>
            <a:rPr lang="en-US" sz="1100"/>
            <a:t>The costs associated</a:t>
          </a:r>
          <a:r>
            <a:rPr lang="en-US" sz="1100" baseline="0"/>
            <a:t> with each tillage type and each cover crop species are shown individually and in combination in the tables imm</a:t>
          </a:r>
          <a:r>
            <a:rPr lang="en-US" sz="1100" baseline="0">
              <a:solidFill>
                <a:schemeClr val="dk1"/>
              </a:solidFill>
              <a:effectLst/>
              <a:latin typeface="+mn-lt"/>
              <a:ea typeface="+mn-ea"/>
              <a:cs typeface="+mn-cs"/>
            </a:rPr>
            <a:t>eadiately below. </a:t>
          </a:r>
          <a:endParaRPr lang="en-US">
            <a:effectLst/>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scenario is also based on the Idowu et al. research results. The costs associated with the three tillage types are calculated separately from the costs of the two cover crop types; the combined costs for each combination is presented.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improvement in soil health associated with each of the 9 combinations is not clear from the Idowu et al. paper. If the specific soil health improvements can be gleaned from the paper, the cost-effectiveness calculations for each of the 9 combinations of tillage and cover crops can be easily calculated.</a:t>
          </a:r>
        </a:p>
      </xdr:txBody>
    </xdr:sp>
    <xdr:clientData/>
  </xdr:twoCellAnchor>
  <xdr:twoCellAnchor>
    <xdr:from>
      <xdr:col>1</xdr:col>
      <xdr:colOff>19050</xdr:colOff>
      <xdr:row>21</xdr:row>
      <xdr:rowOff>0</xdr:rowOff>
    </xdr:from>
    <xdr:to>
      <xdr:col>10</xdr:col>
      <xdr:colOff>180975</xdr:colOff>
      <xdr:row>23</xdr:row>
      <xdr:rowOff>66675</xdr:rowOff>
    </xdr:to>
    <xdr:sp macro="" textlink="">
      <xdr:nvSpPr>
        <xdr:cNvPr id="4" name="TextBox 3">
          <a:extLst>
            <a:ext uri="{FF2B5EF4-FFF2-40B4-BE49-F238E27FC236}">
              <a16:creationId xmlns:a16="http://schemas.microsoft.com/office/drawing/2014/main" id="{58E40050-118F-40E3-B705-9399F4594C7F}"/>
            </a:ext>
          </a:extLst>
        </xdr:cNvPr>
        <xdr:cNvSpPr txBox="1"/>
      </xdr:nvSpPr>
      <xdr:spPr>
        <a:xfrm>
          <a:off x="628650" y="2714625"/>
          <a:ext cx="7848600"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tables below are used to calculate the costs of cover cropping. The costs of the</a:t>
          </a:r>
          <a:r>
            <a:rPr lang="en-US" sz="1100" baseline="0"/>
            <a:t> tillage options are calculated on the Tillage tab.</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400050</xdr:colOff>
      <xdr:row>14</xdr:row>
      <xdr:rowOff>9525</xdr:rowOff>
    </xdr:from>
    <xdr:to>
      <xdr:col>23</xdr:col>
      <xdr:colOff>171450</xdr:colOff>
      <xdr:row>36</xdr:row>
      <xdr:rowOff>142876</xdr:rowOff>
    </xdr:to>
    <xdr:sp macro="" textlink="">
      <xdr:nvSpPr>
        <xdr:cNvPr id="2" name="TextBox 1">
          <a:extLst>
            <a:ext uri="{FF2B5EF4-FFF2-40B4-BE49-F238E27FC236}">
              <a16:creationId xmlns:a16="http://schemas.microsoft.com/office/drawing/2014/main" id="{4304E417-3084-4B3B-B0CD-84884084AA21}"/>
            </a:ext>
          </a:extLst>
        </xdr:cNvPr>
        <xdr:cNvSpPr txBox="1"/>
      </xdr:nvSpPr>
      <xdr:spPr>
        <a:xfrm>
          <a:off x="9448800" y="2286000"/>
          <a:ext cx="5257800" cy="3800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Notes on Scenario 4c.</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Please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refer to Task 2 report for more details on the research that these results come from.</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High compost rates increased N and P concentrations in surface flow, but reduced N and P loss due to a 4-fold reduction in runoff volume, compared to fertilizer.</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Yields did not benefit from low (20%) compost rates, but some improvements in bulk density and porosity may help LT yields (may or may not).</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Treatments did not affect pumpkin or bell pepper; soil nutrients from previous crops may have confounded the pumpkin yield. Bell pepper may be due to frost damage after transplanting.</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Nice to not have these confounds!!</a:t>
          </a:r>
        </a:p>
        <a:p>
          <a:pPr marL="342900" marR="0" lvl="0" indent="-342900">
            <a:lnSpc>
              <a:spcPct val="107000"/>
            </a:lnSpc>
            <a:spcBef>
              <a:spcPts val="0"/>
            </a:spcBef>
            <a:spcAft>
              <a:spcPts val="80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Corn yields were higher in LCF, AC, BCF, PL, and F, than in low compost or biennial compost. Assuming that measured </a:t>
          </a:r>
          <a:r>
            <a:rPr lang="en-US" sz="1100" baseline="0">
              <a:effectLst/>
              <a:latin typeface="Calibri" panose="020F0502020204030204" pitchFamily="34" charset="0"/>
              <a:ea typeface="Calibri" panose="020F0502020204030204" pitchFamily="34" charset="0"/>
              <a:cs typeface="Times New Roman" panose="02020603050405020304" pitchFamily="18" charset="0"/>
            </a:rPr>
            <a:t>yield is plant biomass, but the Evanylo et al. paper </a:t>
          </a:r>
          <a:r>
            <a:rPr lang="en-US" sz="1100">
              <a:solidFill>
                <a:schemeClr val="dk1"/>
              </a:solidFill>
              <a:effectLst/>
              <a:latin typeface="+mn-lt"/>
              <a:ea typeface="+mn-ea"/>
              <a:cs typeface="+mn-cs"/>
            </a:rPr>
            <a:t>does not</a:t>
          </a:r>
          <a:r>
            <a:rPr lang="en-US" sz="1100" baseline="0">
              <a:solidFill>
                <a:schemeClr val="dk1"/>
              </a:solidFill>
              <a:effectLst/>
              <a:latin typeface="+mn-lt"/>
              <a:ea typeface="+mn-ea"/>
              <a:cs typeface="+mn-cs"/>
            </a:rPr>
            <a:t> specify. </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0</xdr:row>
      <xdr:rowOff>161924</xdr:rowOff>
    </xdr:from>
    <xdr:to>
      <xdr:col>23</xdr:col>
      <xdr:colOff>114300</xdr:colOff>
      <xdr:row>13</xdr:row>
      <xdr:rowOff>66674</xdr:rowOff>
    </xdr:to>
    <xdr:sp macro="" textlink="">
      <xdr:nvSpPr>
        <xdr:cNvPr id="3" name="TextBox 2">
          <a:extLst>
            <a:ext uri="{FF2B5EF4-FFF2-40B4-BE49-F238E27FC236}">
              <a16:creationId xmlns:a16="http://schemas.microsoft.com/office/drawing/2014/main" id="{87DACD68-5F42-440B-BB37-71D8F4DE4A9C}"/>
            </a:ext>
          </a:extLst>
        </xdr:cNvPr>
        <xdr:cNvSpPr txBox="1"/>
      </xdr:nvSpPr>
      <xdr:spPr>
        <a:xfrm>
          <a:off x="609600" y="161924"/>
          <a:ext cx="14039850" cy="2009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Scenario 4c - Fertility practices in vegetable production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scenario is based on research results published in Evanylo et al. (2008) from the Piedmont region in Virginia. There is no economic analysis in the paper; we have calculated the cost-effectiveness of fertility program with regard to the yield of corn, which is an indicator of the relative profitability of each treatment. Cost-effectiveness is determined by the cost of nutrients (fertilizer and/or amendments) per ton of corn yield (paper seems to use total biomass, which is fine as a measure of productivity). Using the information given in the paper, the poultry litter (PL) treatment was most cost-effective, followed by low-compost plus fertilizer (LCF), and then just fertlizer (F).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Related to soil health, Table 5 in Evanylo et al. shows results for bulk density, porosity, and water holding capacity. The treatments that showed the best results in these soil health metrics were annual compost (AC), biennial compost (BC), and biennial compost plus fertilizer (BCF). These results can be seen in the table in the spreadsheet titled “Relative change and rank of soil health metrics by treatment”.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soil health results were combined with the relative profitability results to assess the relative cost-effectiveness of each treatment for improving each soil health metric.  These can be seen in the table in the spreadsheet titled “Cost-effectiveness for Soil Health Metrics”. This analysis shows that PL was the most cost-effective for all three soil health metrics, followed by LCF, and F, and BCF.</a:t>
          </a:r>
        </a:p>
        <a:p>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4</xdr:col>
      <xdr:colOff>530860</xdr:colOff>
      <xdr:row>4</xdr:row>
      <xdr:rowOff>76200</xdr:rowOff>
    </xdr:to>
    <xdr:pic>
      <xdr:nvPicPr>
        <xdr:cNvPr id="2" name="Picture 2" descr="OSU Extension">
          <a:extLst>
            <a:ext uri="{FF2B5EF4-FFF2-40B4-BE49-F238E27FC236}">
              <a16:creationId xmlns:a16="http://schemas.microsoft.com/office/drawing/2014/main" id="{80D48CFA-0EA1-4356-852A-72C9D9E89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187388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Winsten, Jon" id="{9A0E6EE6-169D-44EF-A7DE-2575FDF7609C}" userId="S::JWinsten@winrock.org::f23b6d71-5532-49ea-93d4-b6b7fa7d070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2" dT="2022-03-15T01:01:49.65" personId="{9A0E6EE6-169D-44EF-A7DE-2575FDF7609C}" id="{B3404646-EB52-48AD-AF3A-1F9320A370EE}">
    <text>These costs start with the Franklin Co NY 2020 Custom Rates and use interpolatation to estimate costs for field ops not in the Franklin Co rates by using relative differences from Ohio State custom rates.</text>
  </threadedComment>
</ThreadedComments>
</file>

<file path=xl/threadedComments/threadedComment2.xml><?xml version="1.0" encoding="utf-8"?>
<ThreadedComments xmlns="http://schemas.microsoft.com/office/spreadsheetml/2018/threadedcomments" xmlns:x="http://schemas.openxmlformats.org/spreadsheetml/2006/main">
  <threadedComment ref="B23" dT="2022-03-15T01:01:49.65" personId="{9A0E6EE6-169D-44EF-A7DE-2575FDF7609C}" id="{395591A6-3A90-4D73-A9C4-413FF8A8AA93}">
    <text>These costs start with the Franklin Co NY 2020 Custom Rates and use interpolatation to estimate costs for field ops not in the Franklin Co rates by using relative differences from Ohio State custom rates.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5:G44"/>
  <sheetViews>
    <sheetView workbookViewId="0">
      <selection activeCell="G40" sqref="G40"/>
    </sheetView>
  </sheetViews>
  <sheetFormatPr defaultRowHeight="12.75" x14ac:dyDescent="0.2"/>
  <cols>
    <col min="1" max="1" width="6.85546875" style="84" customWidth="1"/>
    <col min="2" max="2" width="17.7109375" style="84" customWidth="1"/>
    <col min="3" max="3" width="10.7109375" style="84" bestFit="1" customWidth="1"/>
    <col min="4" max="7" width="11.42578125" style="84" bestFit="1" customWidth="1"/>
    <col min="8" max="16384" width="9.140625" style="84"/>
  </cols>
  <sheetData>
    <row r="15" spans="2:7" ht="13.5" thickBot="1" x14ac:dyDescent="0.25"/>
    <row r="16" spans="2:7" x14ac:dyDescent="0.2">
      <c r="B16" s="398" t="s">
        <v>175</v>
      </c>
      <c r="C16" s="399"/>
      <c r="D16" s="399"/>
      <c r="E16" s="399"/>
      <c r="F16" s="399"/>
      <c r="G16" s="400"/>
    </row>
    <row r="17" spans="2:7" ht="13.5" thickBot="1" x14ac:dyDescent="0.25">
      <c r="B17" s="401"/>
      <c r="C17" s="402"/>
      <c r="D17" s="402"/>
      <c r="E17" s="402"/>
      <c r="F17" s="402"/>
      <c r="G17" s="403"/>
    </row>
    <row r="18" spans="2:7" x14ac:dyDescent="0.2">
      <c r="B18" s="404" t="s">
        <v>176</v>
      </c>
      <c r="C18" s="405"/>
      <c r="D18" s="405"/>
      <c r="E18" s="405"/>
      <c r="F18" s="405"/>
      <c r="G18" s="406"/>
    </row>
    <row r="19" spans="2:7" x14ac:dyDescent="0.2">
      <c r="B19" s="85" t="s">
        <v>167</v>
      </c>
      <c r="C19" s="86" t="s">
        <v>168</v>
      </c>
      <c r="D19" s="87" t="s">
        <v>172</v>
      </c>
      <c r="E19" s="86" t="s">
        <v>169</v>
      </c>
      <c r="F19" s="86" t="s">
        <v>167</v>
      </c>
      <c r="G19" s="88" t="s">
        <v>173</v>
      </c>
    </row>
    <row r="20" spans="2:7" x14ac:dyDescent="0.2">
      <c r="B20" s="89"/>
      <c r="C20" s="86">
        <f>6095.66*0.65</f>
        <v>3962.1790000000001</v>
      </c>
      <c r="D20" s="86">
        <f>'Sweet Corn'!D111</f>
        <v>1333.399625</v>
      </c>
      <c r="E20" s="86">
        <f>Cabbage!D111</f>
        <v>1277.5650000000001</v>
      </c>
      <c r="F20" s="90"/>
      <c r="G20" s="91">
        <f>AVERAGE(C20:E20)</f>
        <v>2191.0478750000002</v>
      </c>
    </row>
    <row r="21" spans="2:7" ht="13.5" thickBot="1" x14ac:dyDescent="0.25">
      <c r="B21" s="92"/>
      <c r="C21" s="93"/>
      <c r="D21" s="93"/>
      <c r="E21" s="93"/>
      <c r="F21" s="93"/>
      <c r="G21" s="94"/>
    </row>
    <row r="22" spans="2:7" x14ac:dyDescent="0.2">
      <c r="B22" s="407" t="s">
        <v>177</v>
      </c>
      <c r="C22" s="408"/>
      <c r="D22" s="408"/>
      <c r="E22" s="408"/>
      <c r="F22" s="408"/>
      <c r="G22" s="409"/>
    </row>
    <row r="23" spans="2:7" x14ac:dyDescent="0.2">
      <c r="B23" s="85" t="s">
        <v>167</v>
      </c>
      <c r="C23" s="86" t="s">
        <v>170</v>
      </c>
      <c r="D23" s="86" t="s">
        <v>171</v>
      </c>
      <c r="E23" s="86" t="s">
        <v>172</v>
      </c>
      <c r="F23" s="86" t="s">
        <v>167</v>
      </c>
      <c r="G23" s="91"/>
    </row>
    <row r="24" spans="2:7" x14ac:dyDescent="0.2">
      <c r="B24" s="89"/>
      <c r="C24" s="86">
        <f>'corn-cons'!N55</f>
        <v>230.89861759400821</v>
      </c>
      <c r="D24" s="86">
        <f>-('4b Cover Crops and Cons. Till.'!C18+'4b Cover Crops and Cons. Till.'!C19)/2</f>
        <v>-83.05</v>
      </c>
      <c r="E24" s="86">
        <f>'Sweet Corn'!D111</f>
        <v>1333.399625</v>
      </c>
      <c r="F24" s="90"/>
      <c r="G24" s="91">
        <f>AVERAGE(C24:E24)</f>
        <v>493.74941419800274</v>
      </c>
    </row>
    <row r="25" spans="2:7" ht="13.5" thickBot="1" x14ac:dyDescent="0.25">
      <c r="B25" s="92"/>
      <c r="C25" s="93"/>
      <c r="D25" s="93"/>
      <c r="E25" s="93"/>
      <c r="F25" s="93"/>
      <c r="G25" s="94"/>
    </row>
    <row r="26" spans="2:7" ht="13.5" thickBot="1" x14ac:dyDescent="0.25">
      <c r="F26" s="95" t="s">
        <v>174</v>
      </c>
      <c r="G26" s="96">
        <f>G24-G20</f>
        <v>-1697.2984608019974</v>
      </c>
    </row>
    <row r="29" spans="2:7" ht="13.5" thickBot="1" x14ac:dyDescent="0.25"/>
    <row r="30" spans="2:7" x14ac:dyDescent="0.2">
      <c r="B30" s="347"/>
      <c r="C30" s="348"/>
      <c r="D30" s="363" t="s">
        <v>176</v>
      </c>
      <c r="E30" s="363"/>
      <c r="F30" s="364" t="s">
        <v>177</v>
      </c>
    </row>
    <row r="31" spans="2:7" ht="13.5" thickBot="1" x14ac:dyDescent="0.25">
      <c r="B31" s="410" t="s">
        <v>446</v>
      </c>
      <c r="C31" s="391"/>
      <c r="D31" s="349">
        <f>G20</f>
        <v>2191.0478750000002</v>
      </c>
      <c r="E31" s="349"/>
      <c r="F31" s="350">
        <f>G24</f>
        <v>493.74941419800274</v>
      </c>
    </row>
    <row r="32" spans="2:7" ht="15.75" thickBot="1" x14ac:dyDescent="0.3">
      <c r="B32" s="392" t="s">
        <v>453</v>
      </c>
      <c r="C32" s="393"/>
      <c r="D32" s="351"/>
      <c r="E32" s="351"/>
      <c r="F32" s="352">
        <f>D31-F31</f>
        <v>1697.2984608019974</v>
      </c>
    </row>
    <row r="33" spans="2:6" x14ac:dyDescent="0.2">
      <c r="B33" s="396"/>
      <c r="C33" s="397"/>
      <c r="D33" s="354"/>
      <c r="E33" s="354"/>
      <c r="F33" s="355"/>
    </row>
    <row r="34" spans="2:6" x14ac:dyDescent="0.2">
      <c r="B34" s="394" t="s">
        <v>440</v>
      </c>
      <c r="C34" s="395"/>
      <c r="D34" s="365" t="s">
        <v>447</v>
      </c>
      <c r="E34" s="357"/>
      <c r="F34" s="365" t="s">
        <v>447</v>
      </c>
    </row>
    <row r="35" spans="2:6" ht="13.5" thickBot="1" x14ac:dyDescent="0.25">
      <c r="B35" s="390" t="s">
        <v>174</v>
      </c>
      <c r="C35" s="391"/>
      <c r="D35" s="349"/>
      <c r="E35" s="349"/>
      <c r="F35" s="359" t="e">
        <f>F34-D34</f>
        <v>#VALUE!</v>
      </c>
    </row>
    <row r="36" spans="2:6" ht="15.75" thickBot="1" x14ac:dyDescent="0.3">
      <c r="B36" s="392" t="s">
        <v>441</v>
      </c>
      <c r="C36" s="393"/>
      <c r="D36" s="351"/>
      <c r="E36" s="351"/>
      <c r="F36" s="352" t="e">
        <f>F$31/F35</f>
        <v>#VALUE!</v>
      </c>
    </row>
    <row r="37" spans="2:6" x14ac:dyDescent="0.2">
      <c r="B37" s="396"/>
      <c r="C37" s="397"/>
      <c r="D37" s="360"/>
      <c r="E37" s="360"/>
      <c r="F37" s="361"/>
    </row>
    <row r="38" spans="2:6" x14ac:dyDescent="0.2">
      <c r="B38" s="394" t="s">
        <v>442</v>
      </c>
      <c r="C38" s="395"/>
      <c r="D38" s="357">
        <v>2.2000000000000002</v>
      </c>
      <c r="E38" s="357"/>
      <c r="F38" s="358">
        <v>2.4</v>
      </c>
    </row>
    <row r="39" spans="2:6" ht="13.5" thickBot="1" x14ac:dyDescent="0.25">
      <c r="B39" s="390" t="s">
        <v>174</v>
      </c>
      <c r="C39" s="391"/>
      <c r="D39" s="349"/>
      <c r="E39" s="349"/>
      <c r="F39" s="359">
        <f>F38-D38</f>
        <v>0.19999999999999973</v>
      </c>
    </row>
    <row r="40" spans="2:6" ht="15.75" thickBot="1" x14ac:dyDescent="0.3">
      <c r="B40" s="392" t="s">
        <v>443</v>
      </c>
      <c r="C40" s="393"/>
      <c r="D40" s="362"/>
      <c r="E40" s="362"/>
      <c r="F40" s="352">
        <f>F$31/(F39*10)</f>
        <v>246.87470709900171</v>
      </c>
    </row>
    <row r="41" spans="2:6" x14ac:dyDescent="0.2">
      <c r="B41" s="396"/>
      <c r="C41" s="397"/>
      <c r="D41" s="360"/>
      <c r="E41" s="360"/>
      <c r="F41" s="361"/>
    </row>
    <row r="42" spans="2:6" x14ac:dyDescent="0.2">
      <c r="B42" s="394" t="s">
        <v>444</v>
      </c>
      <c r="C42" s="395"/>
      <c r="D42" s="357">
        <v>14.4</v>
      </c>
      <c r="E42" s="357"/>
      <c r="F42" s="358">
        <v>19.5</v>
      </c>
    </row>
    <row r="43" spans="2:6" ht="13.5" thickBot="1" x14ac:dyDescent="0.25">
      <c r="B43" s="390" t="s">
        <v>174</v>
      </c>
      <c r="C43" s="391"/>
      <c r="D43" s="349"/>
      <c r="E43" s="349"/>
      <c r="F43" s="359">
        <f>F42-D42</f>
        <v>5.0999999999999996</v>
      </c>
    </row>
    <row r="44" spans="2:6" ht="15.75" thickBot="1" x14ac:dyDescent="0.3">
      <c r="B44" s="392" t="s">
        <v>445</v>
      </c>
      <c r="C44" s="393"/>
      <c r="D44" s="362"/>
      <c r="E44" s="362"/>
      <c r="F44" s="352">
        <f>F$32/F43</f>
        <v>332.80361976509755</v>
      </c>
    </row>
  </sheetData>
  <mergeCells count="17">
    <mergeCell ref="B16:G17"/>
    <mergeCell ref="B18:G18"/>
    <mergeCell ref="B22:G22"/>
    <mergeCell ref="B31:C31"/>
    <mergeCell ref="B32:C32"/>
    <mergeCell ref="B33:C33"/>
    <mergeCell ref="B34:C34"/>
    <mergeCell ref="B35:C35"/>
    <mergeCell ref="B36:C36"/>
    <mergeCell ref="B37:C37"/>
    <mergeCell ref="B43:C43"/>
    <mergeCell ref="B44:C44"/>
    <mergeCell ref="B38:C38"/>
    <mergeCell ref="B39:C39"/>
    <mergeCell ref="B40:C40"/>
    <mergeCell ref="B41:C41"/>
    <mergeCell ref="B42:C42"/>
  </mergeCells>
  <phoneticPr fontId="6" type="noConversion"/>
  <pageMargins left="0.75" right="0.75" top="1" bottom="1" header="0.5" footer="0.5"/>
  <pageSetup orientation="portrait" horizontalDpi="90" verticalDpi="9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2:AH63"/>
  <sheetViews>
    <sheetView workbookViewId="0">
      <selection activeCell="M15" sqref="M15"/>
    </sheetView>
  </sheetViews>
  <sheetFormatPr defaultRowHeight="12.75" x14ac:dyDescent="0.2"/>
  <cols>
    <col min="1" max="1" width="9.140625" style="84"/>
    <col min="2" max="2" width="36.5703125" style="84" customWidth="1"/>
    <col min="3" max="4" width="9.140625" style="84"/>
    <col min="5" max="7" width="10.28515625" style="84" bestFit="1" customWidth="1"/>
    <col min="8" max="8" width="11.42578125" style="84" bestFit="1" customWidth="1"/>
    <col min="9" max="9" width="9" style="84" customWidth="1"/>
    <col min="10" max="11" width="9.140625" style="84"/>
    <col min="12" max="12" width="10" style="84" customWidth="1"/>
    <col min="13" max="16384" width="9.140625" style="84"/>
  </cols>
  <sheetData>
    <row r="12" spans="2:9" ht="13.5" thickBot="1" x14ac:dyDescent="0.25"/>
    <row r="13" spans="2:9" ht="13.5" thickBot="1" x14ac:dyDescent="0.25">
      <c r="B13" s="411" t="s">
        <v>448</v>
      </c>
      <c r="C13" s="412"/>
    </row>
    <row r="14" spans="2:9" ht="13.5" thickBot="1" x14ac:dyDescent="0.25">
      <c r="B14" s="145" t="s">
        <v>310</v>
      </c>
      <c r="C14" s="146">
        <f>Tilllage!AA6</f>
        <v>36</v>
      </c>
      <c r="G14" s="411" t="s">
        <v>318</v>
      </c>
      <c r="H14" s="416"/>
      <c r="I14" s="412"/>
    </row>
    <row r="15" spans="2:9" ht="15.75" thickBot="1" x14ac:dyDescent="0.3">
      <c r="B15" s="212" t="s">
        <v>311</v>
      </c>
      <c r="C15" s="213">
        <f>Tilllage!AA7</f>
        <v>18</v>
      </c>
      <c r="E15" s="210"/>
      <c r="F15" s="214"/>
      <c r="G15" s="425" t="s">
        <v>308</v>
      </c>
      <c r="H15" s="426"/>
      <c r="I15" s="427"/>
    </row>
    <row r="16" spans="2:9" ht="15.75" thickBot="1" x14ac:dyDescent="0.3">
      <c r="B16" s="147" t="s">
        <v>312</v>
      </c>
      <c r="C16" s="148">
        <f>Tilllage!AA8</f>
        <v>2</v>
      </c>
      <c r="E16" s="211"/>
      <c r="F16" s="215"/>
      <c r="G16" s="216" t="s">
        <v>306</v>
      </c>
      <c r="H16" s="217" t="s">
        <v>233</v>
      </c>
      <c r="I16" s="218" t="s">
        <v>307</v>
      </c>
    </row>
    <row r="17" spans="1:34" ht="13.5" thickBot="1" x14ac:dyDescent="0.25">
      <c r="E17" s="413" t="s">
        <v>309</v>
      </c>
      <c r="F17" s="219" t="s">
        <v>303</v>
      </c>
      <c r="G17" s="220">
        <f>C$18+Tilllage!AA6</f>
        <v>121</v>
      </c>
      <c r="H17" s="221">
        <f>C$19+Tilllage!AA6</f>
        <v>117.1</v>
      </c>
      <c r="I17" s="222">
        <f>Tilllage!AA6</f>
        <v>36</v>
      </c>
    </row>
    <row r="18" spans="1:34" x14ac:dyDescent="0.2">
      <c r="B18" s="145" t="s">
        <v>231</v>
      </c>
      <c r="C18" s="146">
        <f>AH28</f>
        <v>85</v>
      </c>
      <c r="E18" s="414"/>
      <c r="F18" s="223" t="s">
        <v>304</v>
      </c>
      <c r="G18" s="224">
        <f>C$18+Tilllage!AA7</f>
        <v>103</v>
      </c>
      <c r="H18" s="225">
        <f>C$19+Tilllage!AA7</f>
        <v>99.1</v>
      </c>
      <c r="I18" s="226">
        <f>Tilllage!AA7</f>
        <v>18</v>
      </c>
    </row>
    <row r="19" spans="1:34" ht="13.5" thickBot="1" x14ac:dyDescent="0.25">
      <c r="B19" s="147" t="s">
        <v>232</v>
      </c>
      <c r="C19" s="148">
        <f>AH29</f>
        <v>81.099999999999994</v>
      </c>
      <c r="E19" s="415"/>
      <c r="F19" s="227" t="s">
        <v>305</v>
      </c>
      <c r="G19" s="228">
        <f>C$18+Tilllage!AA8</f>
        <v>87</v>
      </c>
      <c r="H19" s="229">
        <f>C$19+Tilllage!AA8</f>
        <v>83.1</v>
      </c>
      <c r="I19" s="230">
        <f>Tilllage!AA8</f>
        <v>2</v>
      </c>
    </row>
    <row r="20" spans="1:34" x14ac:dyDescent="0.2">
      <c r="B20" s="366"/>
      <c r="C20" s="366"/>
      <c r="E20" s="367"/>
      <c r="F20" s="368"/>
      <c r="G20" s="369"/>
      <c r="H20" s="369"/>
      <c r="I20" s="368"/>
    </row>
    <row r="21" spans="1:34" x14ac:dyDescent="0.2">
      <c r="B21" s="366"/>
      <c r="C21" s="366"/>
      <c r="E21" s="367"/>
      <c r="F21" s="368"/>
      <c r="G21" s="369"/>
      <c r="H21" s="369"/>
      <c r="I21" s="368"/>
    </row>
    <row r="22" spans="1:34" x14ac:dyDescent="0.2">
      <c r="B22" s="366"/>
      <c r="C22" s="366"/>
      <c r="E22" s="367"/>
      <c r="F22" s="368"/>
      <c r="G22" s="369"/>
      <c r="H22" s="369"/>
      <c r="I22" s="368"/>
    </row>
    <row r="24" spans="1:34" ht="13.5" thickBot="1" x14ac:dyDescent="0.25"/>
    <row r="25" spans="1:34" ht="13.5" thickBot="1" x14ac:dyDescent="0.25">
      <c r="A25" s="97"/>
      <c r="B25" s="138"/>
      <c r="C25" s="417" t="s">
        <v>178</v>
      </c>
      <c r="D25" s="417"/>
      <c r="E25" s="139"/>
      <c r="F25" s="98"/>
      <c r="G25" s="97"/>
      <c r="H25" s="421" t="s">
        <v>234</v>
      </c>
      <c r="I25" s="422"/>
      <c r="J25" s="422"/>
      <c r="K25" s="422"/>
      <c r="L25" s="423"/>
      <c r="M25" s="97"/>
      <c r="N25" s="424" t="s">
        <v>179</v>
      </c>
      <c r="O25" s="422"/>
      <c r="P25" s="422"/>
      <c r="Q25" s="423"/>
      <c r="R25"/>
      <c r="S25"/>
      <c r="T25"/>
      <c r="U25"/>
      <c r="V25"/>
      <c r="W25"/>
      <c r="X25"/>
      <c r="Y25"/>
      <c r="Z25"/>
      <c r="AA25" s="99"/>
      <c r="AB25"/>
      <c r="AC25"/>
      <c r="AD25"/>
      <c r="AE25"/>
      <c r="AF25"/>
      <c r="AG25"/>
      <c r="AH25"/>
    </row>
    <row r="26" spans="1:34" ht="39" thickBot="1" x14ac:dyDescent="0.25">
      <c r="A26" s="97"/>
      <c r="B26" s="100" t="s">
        <v>180</v>
      </c>
      <c r="C26" s="102" t="s">
        <v>181</v>
      </c>
      <c r="D26" s="102" t="s">
        <v>182</v>
      </c>
      <c r="E26" s="137" t="s">
        <v>235</v>
      </c>
      <c r="F26" s="103" t="s">
        <v>183</v>
      </c>
      <c r="G26" s="97"/>
      <c r="H26" s="138" t="s">
        <v>184</v>
      </c>
      <c r="I26" s="139" t="s">
        <v>185</v>
      </c>
      <c r="J26" s="139" t="s">
        <v>186</v>
      </c>
      <c r="K26" s="139" t="s">
        <v>187</v>
      </c>
      <c r="L26" s="98" t="s">
        <v>188</v>
      </c>
      <c r="M26" s="97"/>
      <c r="N26" s="138" t="s">
        <v>189</v>
      </c>
      <c r="O26" s="153" t="s">
        <v>190</v>
      </c>
      <c r="P26" s="153" t="s">
        <v>191</v>
      </c>
      <c r="Q26" s="372" t="s">
        <v>294</v>
      </c>
      <c r="R26"/>
      <c r="S26"/>
      <c r="T26" s="418" t="s">
        <v>192</v>
      </c>
      <c r="U26" s="419"/>
      <c r="V26" s="419"/>
      <c r="W26" s="419"/>
      <c r="X26" s="419"/>
      <c r="Y26" s="419"/>
      <c r="Z26" s="419"/>
      <c r="AA26" s="419"/>
      <c r="AB26" s="419"/>
      <c r="AC26" s="419"/>
      <c r="AD26" s="419"/>
      <c r="AE26" s="419"/>
      <c r="AF26" s="419"/>
      <c r="AG26" s="419"/>
      <c r="AH26" s="420"/>
    </row>
    <row r="27" spans="1:34" ht="129" thickBot="1" x14ac:dyDescent="0.3">
      <c r="A27" s="97"/>
      <c r="B27" s="100" t="s">
        <v>193</v>
      </c>
      <c r="C27" s="149">
        <v>100</v>
      </c>
      <c r="D27" s="149">
        <v>100</v>
      </c>
      <c r="E27" s="370">
        <v>0.375</v>
      </c>
      <c r="F27" s="105">
        <f>C27*E27</f>
        <v>37.5</v>
      </c>
      <c r="G27" s="97"/>
      <c r="H27" s="100" t="s">
        <v>194</v>
      </c>
      <c r="I27" s="193">
        <f>C48</f>
        <v>14</v>
      </c>
      <c r="J27" s="102" t="s">
        <v>195</v>
      </c>
      <c r="K27" s="102" t="s">
        <v>195</v>
      </c>
      <c r="L27" s="103" t="s">
        <v>195</v>
      </c>
      <c r="M27" s="97"/>
      <c r="N27" s="154" t="s">
        <v>196</v>
      </c>
      <c r="O27" s="150">
        <v>0.25</v>
      </c>
      <c r="P27" s="151">
        <v>66</v>
      </c>
      <c r="Q27" s="155">
        <f>O27*P27</f>
        <v>16.5</v>
      </c>
      <c r="R27"/>
      <c r="S27" t="s">
        <v>197</v>
      </c>
      <c r="T27" s="107" t="s">
        <v>198</v>
      </c>
      <c r="U27" s="108" t="s">
        <v>199</v>
      </c>
      <c r="V27" s="108" t="s">
        <v>200</v>
      </c>
      <c r="W27" s="108" t="s">
        <v>184</v>
      </c>
      <c r="X27" s="109" t="s">
        <v>201</v>
      </c>
      <c r="Y27" s="109" t="s">
        <v>202</v>
      </c>
      <c r="Z27" s="108" t="s">
        <v>203</v>
      </c>
      <c r="AA27" s="109" t="s">
        <v>204</v>
      </c>
      <c r="AB27" s="108" t="s">
        <v>205</v>
      </c>
      <c r="AC27" s="108" t="s">
        <v>206</v>
      </c>
      <c r="AD27" s="110" t="s">
        <v>207</v>
      </c>
      <c r="AE27" s="110" t="s">
        <v>208</v>
      </c>
      <c r="AF27" s="110" t="s">
        <v>209</v>
      </c>
      <c r="AG27" s="110" t="s">
        <v>210</v>
      </c>
      <c r="AH27" s="111" t="s">
        <v>211</v>
      </c>
    </row>
    <row r="28" spans="1:34" ht="15" x14ac:dyDescent="0.25">
      <c r="A28" s="97"/>
      <c r="B28" s="100" t="s">
        <v>212</v>
      </c>
      <c r="C28" s="149">
        <v>50</v>
      </c>
      <c r="D28" s="149">
        <v>40</v>
      </c>
      <c r="E28" s="370">
        <v>0.28999999999999998</v>
      </c>
      <c r="F28" s="105">
        <f t="shared" ref="F28:F29" si="0">C28*E28</f>
        <v>14.499999999999998</v>
      </c>
      <c r="G28" s="97"/>
      <c r="H28" s="100" t="s">
        <v>182</v>
      </c>
      <c r="I28" s="193">
        <f>C47</f>
        <v>20</v>
      </c>
      <c r="J28" s="102" t="s">
        <v>213</v>
      </c>
      <c r="K28" s="102" t="s">
        <v>213</v>
      </c>
      <c r="L28" s="103" t="s">
        <v>213</v>
      </c>
      <c r="M28" s="97"/>
      <c r="N28" s="154" t="s">
        <v>214</v>
      </c>
      <c r="O28" s="152"/>
      <c r="P28" s="152">
        <f>C43</f>
        <v>11</v>
      </c>
      <c r="Q28" s="156">
        <f>P28</f>
        <v>11</v>
      </c>
      <c r="R28"/>
      <c r="S28">
        <v>1</v>
      </c>
      <c r="T28" s="113" t="s">
        <v>195</v>
      </c>
      <c r="U28" s="113" t="s">
        <v>193</v>
      </c>
      <c r="V28" s="114">
        <f>IF(OR(W28="Broadcast", W28="Aerial"), VLOOKUP(U28,$B$25:$D$30,2,FALSE),IF(W28="Drill",VLOOKUP(U28,$B$25:$E$30,3,FALSE),""))</f>
        <v>100</v>
      </c>
      <c r="W28" s="113" t="s">
        <v>182</v>
      </c>
      <c r="X28" s="115">
        <f>IF(T28="Yes", V28*VLOOKUP(U28, $B$18:$E$50, 4, FALSE), "")</f>
        <v>37.5</v>
      </c>
      <c r="Y28" s="115">
        <f>VLOOKUP(W28, $H$27:$I$29, 2, FALSE)</f>
        <v>20</v>
      </c>
      <c r="Z28" s="113" t="s">
        <v>195</v>
      </c>
      <c r="AA28" s="115">
        <f>IF(Z28="Yes", Q$29, 0)</f>
        <v>27.5</v>
      </c>
      <c r="AB28" s="113" t="s">
        <v>213</v>
      </c>
      <c r="AC28" s="113" t="s">
        <v>213</v>
      </c>
      <c r="AD28" s="113"/>
      <c r="AE28" s="113"/>
      <c r="AF28" s="115">
        <f>IF(AC28="No", 0, AE28*VLOOKUP(AD28, $B$33:$C$49, 2, FALSE))</f>
        <v>0</v>
      </c>
      <c r="AG28" s="115">
        <f>X28+Y28+AA28+AF28</f>
        <v>85</v>
      </c>
      <c r="AH28" s="115">
        <f>IF(AG28="", "", AG28*S28)</f>
        <v>85</v>
      </c>
    </row>
    <row r="29" spans="1:34" ht="15.75" thickBot="1" x14ac:dyDescent="0.3">
      <c r="A29" s="97"/>
      <c r="B29" s="140" t="s">
        <v>215</v>
      </c>
      <c r="C29" s="149">
        <v>25</v>
      </c>
      <c r="D29" s="149">
        <v>20</v>
      </c>
      <c r="E29" s="370">
        <v>0.95</v>
      </c>
      <c r="F29" s="105">
        <f t="shared" si="0"/>
        <v>23.75</v>
      </c>
      <c r="G29" s="97"/>
      <c r="H29" s="143" t="s">
        <v>216</v>
      </c>
      <c r="I29" s="142"/>
      <c r="J29" s="142"/>
      <c r="K29" s="142"/>
      <c r="L29" s="121"/>
      <c r="M29" s="97"/>
      <c r="N29" s="157" t="s">
        <v>217</v>
      </c>
      <c r="O29" s="158"/>
      <c r="P29" s="159"/>
      <c r="Q29" s="160">
        <f>SUM(Q27:Q28)</f>
        <v>27.5</v>
      </c>
      <c r="R29"/>
      <c r="S29">
        <v>1</v>
      </c>
      <c r="T29" s="113" t="s">
        <v>195</v>
      </c>
      <c r="U29" s="113" t="s">
        <v>233</v>
      </c>
      <c r="V29" s="114">
        <f t="shared" ref="V29:V30" si="1">IF(OR(W29="Broadcast", W29="Aerial"), VLOOKUP(U29,$B$25:$D$30,2,FALSE),IF(W29="Drill",VLOOKUP(U29,$B$25:$E$30,3,FALSE),""))</f>
        <v>15</v>
      </c>
      <c r="W29" s="113" t="s">
        <v>182</v>
      </c>
      <c r="X29" s="115">
        <f t="shared" ref="X29:X30" si="2">IF(T29="Yes", V29*VLOOKUP(U29, $B$18:$E$50, 4, FALSE), "")</f>
        <v>33.6</v>
      </c>
      <c r="Y29" s="115">
        <f t="shared" ref="Y29:Y30" si="3">VLOOKUP(W29, $H$27:$I$29, 2, FALSE)</f>
        <v>20</v>
      </c>
      <c r="Z29" s="113" t="s">
        <v>195</v>
      </c>
      <c r="AA29" s="115">
        <f t="shared" ref="AA29:AA30" si="4">IF(Z29="Yes", Q$29, 0)</f>
        <v>27.5</v>
      </c>
      <c r="AB29" s="113" t="s">
        <v>213</v>
      </c>
      <c r="AC29" s="113" t="s">
        <v>213</v>
      </c>
      <c r="AD29" s="113"/>
      <c r="AE29" s="113"/>
      <c r="AF29" s="115">
        <f>IF(AD29="", 0, AE29*VLOOKUP(AD29, B33:C49, 2, FALSE))</f>
        <v>0</v>
      </c>
      <c r="AG29" s="115">
        <f>X29+Y29+AA29+AF29</f>
        <v>81.099999999999994</v>
      </c>
      <c r="AH29" s="115">
        <f t="shared" ref="AH29:AH30" si="5">IF(AG29="", "", AG29*S29)</f>
        <v>81.099999999999994</v>
      </c>
    </row>
    <row r="30" spans="1:34" ht="15.75" thickBot="1" x14ac:dyDescent="0.3">
      <c r="A30" s="97"/>
      <c r="B30" s="141" t="s">
        <v>233</v>
      </c>
      <c r="C30" s="142">
        <v>15</v>
      </c>
      <c r="D30" s="142">
        <v>15</v>
      </c>
      <c r="E30" s="371">
        <v>2.2400000000000002</v>
      </c>
      <c r="F30" s="116">
        <f>D30*E30</f>
        <v>33.6</v>
      </c>
      <c r="G30" s="97"/>
      <c r="H30" s="97"/>
      <c r="I30" s="97"/>
      <c r="J30" s="97"/>
      <c r="K30" s="97"/>
      <c r="L30" s="97"/>
      <c r="M30" s="97"/>
      <c r="N30" s="97"/>
      <c r="O30" s="97"/>
      <c r="P30" s="97"/>
      <c r="Q30" s="97"/>
      <c r="R30"/>
      <c r="S30">
        <v>1</v>
      </c>
      <c r="T30" s="113" t="s">
        <v>213</v>
      </c>
      <c r="U30" s="113" t="s">
        <v>212</v>
      </c>
      <c r="V30" s="114">
        <f t="shared" si="1"/>
        <v>50</v>
      </c>
      <c r="W30" s="113" t="s">
        <v>194</v>
      </c>
      <c r="X30" s="115" t="str">
        <f t="shared" si="2"/>
        <v/>
      </c>
      <c r="Y30" s="115">
        <f t="shared" si="3"/>
        <v>14</v>
      </c>
      <c r="Z30" s="113" t="s">
        <v>213</v>
      </c>
      <c r="AA30" s="115">
        <f t="shared" si="4"/>
        <v>0</v>
      </c>
      <c r="AB30" s="113" t="s">
        <v>213</v>
      </c>
      <c r="AC30" s="113" t="s">
        <v>213</v>
      </c>
      <c r="AD30" s="113"/>
      <c r="AE30" s="113"/>
      <c r="AF30" s="115">
        <f>IF(AD30="", 0, AE30*VLOOKUP(AD30, B33:C49, 2, FALSE))</f>
        <v>0</v>
      </c>
      <c r="AG30" s="115" t="str">
        <f>IF(T30="No", "", X30+Y30+AA30+AF30)</f>
        <v/>
      </c>
      <c r="AH30" s="115" t="str">
        <f t="shared" si="5"/>
        <v/>
      </c>
    </row>
    <row r="31" spans="1:34" ht="15.75" thickBot="1" x14ac:dyDescent="0.3">
      <c r="A31" s="97"/>
      <c r="B31" s="97"/>
      <c r="C31" s="97"/>
      <c r="D31" s="101"/>
      <c r="E31" s="135"/>
      <c r="F31" s="104"/>
      <c r="G31" s="97"/>
      <c r="H31" s="97"/>
      <c r="I31" s="97"/>
      <c r="J31" s="97"/>
      <c r="K31" s="97"/>
      <c r="L31" s="97"/>
      <c r="M31" s="97"/>
      <c r="N31" s="97"/>
      <c r="O31" s="97"/>
      <c r="P31" s="97"/>
      <c r="Q31" s="97"/>
      <c r="R31"/>
      <c r="S31"/>
      <c r="T31"/>
      <c r="U31"/>
      <c r="V31"/>
      <c r="W31"/>
      <c r="X31"/>
      <c r="Y31"/>
      <c r="Z31"/>
      <c r="AA31" s="99"/>
      <c r="AB31"/>
      <c r="AC31"/>
      <c r="AD31"/>
      <c r="AE31"/>
      <c r="AF31" s="99"/>
      <c r="AG31" s="99"/>
      <c r="AH31"/>
    </row>
    <row r="32" spans="1:34" ht="15.75" thickBot="1" x14ac:dyDescent="0.3">
      <c r="A32" s="97"/>
      <c r="B32" s="118" t="s">
        <v>218</v>
      </c>
      <c r="C32" s="119" t="s">
        <v>219</v>
      </c>
      <c r="D32" s="97"/>
      <c r="E32" s="117"/>
      <c r="F32" s="104"/>
      <c r="G32" s="120"/>
      <c r="H32" s="97"/>
      <c r="I32" s="97"/>
      <c r="J32" s="97"/>
      <c r="K32" s="97"/>
      <c r="L32" s="97"/>
      <c r="M32" s="97"/>
      <c r="N32" s="97"/>
      <c r="O32" s="97"/>
      <c r="P32" s="97"/>
      <c r="Q32" s="97"/>
      <c r="R32"/>
      <c r="S32"/>
      <c r="T32"/>
      <c r="U32"/>
      <c r="V32"/>
      <c r="W32"/>
      <c r="X32"/>
      <c r="Y32"/>
      <c r="Z32"/>
      <c r="AA32" s="99"/>
      <c r="AB32"/>
      <c r="AC32"/>
      <c r="AD32"/>
      <c r="AE32"/>
      <c r="AF32" s="99"/>
      <c r="AG32" s="99"/>
      <c r="AH32"/>
    </row>
    <row r="33" spans="1:34" x14ac:dyDescent="0.2">
      <c r="A33" s="97"/>
      <c r="B33" s="191" t="s">
        <v>220</v>
      </c>
      <c r="C33" s="192">
        <v>20</v>
      </c>
      <c r="D33" s="97"/>
      <c r="J33" s="97"/>
      <c r="K33" s="97"/>
      <c r="L33" s="97"/>
      <c r="M33" s="97"/>
      <c r="N33"/>
      <c r="O33"/>
      <c r="P33"/>
      <c r="Q33"/>
      <c r="R33"/>
      <c r="S33"/>
      <c r="T33"/>
      <c r="U33"/>
      <c r="V33"/>
      <c r="W33"/>
      <c r="X33"/>
      <c r="Y33"/>
      <c r="Z33"/>
      <c r="AA33" s="99"/>
      <c r="AB33"/>
      <c r="AC33"/>
      <c r="AD33"/>
      <c r="AE33"/>
      <c r="AF33" s="99"/>
      <c r="AG33" s="99"/>
      <c r="AH33"/>
    </row>
    <row r="34" spans="1:34" x14ac:dyDescent="0.2">
      <c r="A34" s="97"/>
      <c r="B34" s="100" t="s">
        <v>221</v>
      </c>
      <c r="C34" s="105">
        <v>16.5</v>
      </c>
      <c r="D34" s="97"/>
      <c r="J34" s="97"/>
      <c r="K34" s="97"/>
      <c r="L34" s="97"/>
      <c r="M34" s="97"/>
      <c r="N34"/>
      <c r="O34"/>
      <c r="P34"/>
      <c r="Q34"/>
      <c r="R34"/>
      <c r="S34"/>
      <c r="T34"/>
      <c r="U34"/>
      <c r="V34"/>
      <c r="W34"/>
      <c r="X34"/>
      <c r="Y34"/>
      <c r="Z34"/>
      <c r="AA34" s="99"/>
      <c r="AB34"/>
      <c r="AC34"/>
      <c r="AD34"/>
      <c r="AE34"/>
      <c r="AF34" s="99"/>
      <c r="AG34" s="99"/>
      <c r="AH34"/>
    </row>
    <row r="35" spans="1:34" ht="15" customHeight="1" x14ac:dyDescent="0.2">
      <c r="A35" s="97"/>
      <c r="B35" s="100" t="s">
        <v>270</v>
      </c>
      <c r="C35" s="105">
        <v>16</v>
      </c>
      <c r="D35" s="97"/>
      <c r="J35" s="97"/>
      <c r="K35" s="97"/>
      <c r="L35" s="97"/>
      <c r="M35" s="97"/>
      <c r="N35"/>
      <c r="O35"/>
      <c r="P35"/>
      <c r="Q35"/>
      <c r="R35"/>
      <c r="S35"/>
      <c r="T35"/>
      <c r="U35"/>
      <c r="V35"/>
      <c r="W35"/>
      <c r="X35"/>
      <c r="Y35"/>
      <c r="Z35"/>
      <c r="AA35" s="99"/>
      <c r="AB35"/>
      <c r="AC35"/>
      <c r="AD35"/>
      <c r="AE35"/>
      <c r="AF35" s="99"/>
      <c r="AG35" s="99"/>
      <c r="AH35"/>
    </row>
    <row r="36" spans="1:34" ht="15" customHeight="1" x14ac:dyDescent="0.2">
      <c r="A36" s="97"/>
      <c r="B36" s="100" t="s">
        <v>222</v>
      </c>
      <c r="C36" s="105">
        <v>15</v>
      </c>
      <c r="D36" s="97"/>
      <c r="J36" s="97"/>
      <c r="K36" s="97"/>
      <c r="L36" s="97"/>
      <c r="M36" s="97"/>
      <c r="N36"/>
      <c r="O36"/>
      <c r="P36"/>
      <c r="Q36"/>
      <c r="R36"/>
      <c r="S36"/>
      <c r="T36"/>
      <c r="U36"/>
      <c r="V36"/>
      <c r="W36"/>
      <c r="X36"/>
      <c r="Y36"/>
      <c r="Z36"/>
      <c r="AA36" s="99"/>
      <c r="AB36"/>
      <c r="AC36"/>
      <c r="AD36"/>
      <c r="AE36"/>
      <c r="AF36" s="99"/>
      <c r="AG36" s="99"/>
      <c r="AH36"/>
    </row>
    <row r="37" spans="1:34" ht="15" customHeight="1" x14ac:dyDescent="0.2">
      <c r="A37" s="97"/>
      <c r="B37" s="100" t="s">
        <v>223</v>
      </c>
      <c r="C37" s="105">
        <v>15</v>
      </c>
      <c r="D37" s="97"/>
      <c r="J37" s="97"/>
      <c r="K37" s="97"/>
      <c r="L37" s="97"/>
      <c r="M37" s="97"/>
      <c r="N37"/>
      <c r="O37"/>
      <c r="P37"/>
      <c r="Q37"/>
      <c r="R37"/>
      <c r="S37"/>
      <c r="T37"/>
      <c r="U37"/>
      <c r="V37"/>
      <c r="W37"/>
      <c r="X37"/>
      <c r="Y37"/>
      <c r="Z37"/>
      <c r="AA37" s="99"/>
      <c r="AB37"/>
      <c r="AC37"/>
      <c r="AD37"/>
      <c r="AE37"/>
      <c r="AF37" s="99"/>
      <c r="AG37" s="99"/>
      <c r="AH37"/>
    </row>
    <row r="38" spans="1:34" ht="15" x14ac:dyDescent="0.25">
      <c r="A38" s="97"/>
      <c r="B38" s="100" t="s">
        <v>271</v>
      </c>
      <c r="C38" s="105">
        <v>16</v>
      </c>
      <c r="D38" s="97"/>
      <c r="E38" s="117"/>
      <c r="F38" s="104"/>
      <c r="G38" s="97"/>
      <c r="H38" s="97"/>
      <c r="I38" s="97"/>
      <c r="J38" s="97"/>
      <c r="K38" s="97"/>
      <c r="L38" s="97"/>
      <c r="M38" s="97"/>
      <c r="N38"/>
      <c r="O38"/>
      <c r="P38"/>
      <c r="Q38"/>
      <c r="R38"/>
      <c r="S38"/>
      <c r="T38"/>
      <c r="U38"/>
      <c r="V38"/>
      <c r="W38"/>
      <c r="X38"/>
      <c r="Y38"/>
      <c r="Z38"/>
      <c r="AA38" s="99"/>
      <c r="AB38"/>
      <c r="AC38"/>
      <c r="AD38"/>
      <c r="AE38"/>
      <c r="AF38" s="99"/>
      <c r="AG38" s="99"/>
      <c r="AH38"/>
    </row>
    <row r="39" spans="1:34" ht="15" x14ac:dyDescent="0.25">
      <c r="A39" s="97"/>
      <c r="B39" s="100" t="s">
        <v>272</v>
      </c>
      <c r="C39" s="105">
        <v>18.600000000000001</v>
      </c>
      <c r="D39" s="97"/>
      <c r="E39" s="117"/>
      <c r="F39" s="104"/>
      <c r="G39" s="97"/>
      <c r="H39" s="97"/>
      <c r="I39" s="97"/>
      <c r="J39" s="97"/>
      <c r="K39" s="97"/>
      <c r="L39" s="97"/>
      <c r="M39" s="97"/>
      <c r="N39"/>
      <c r="O39"/>
      <c r="P39"/>
      <c r="Q39"/>
      <c r="R39"/>
      <c r="S39"/>
      <c r="T39"/>
      <c r="U39"/>
      <c r="V39"/>
      <c r="W39"/>
      <c r="X39"/>
      <c r="Y39"/>
      <c r="Z39"/>
      <c r="AA39" s="99"/>
      <c r="AB39"/>
      <c r="AC39"/>
      <c r="AD39"/>
      <c r="AE39"/>
      <c r="AF39" s="99"/>
      <c r="AG39" s="99"/>
      <c r="AH39"/>
    </row>
    <row r="40" spans="1:34" ht="15" x14ac:dyDescent="0.25">
      <c r="A40" s="97"/>
      <c r="B40" s="100" t="s">
        <v>273</v>
      </c>
      <c r="C40" s="105">
        <v>19.100000000000001</v>
      </c>
      <c r="D40" s="97"/>
      <c r="E40" s="117"/>
      <c r="F40" s="104"/>
      <c r="G40" s="97"/>
      <c r="H40" s="97"/>
      <c r="I40" s="97"/>
      <c r="J40" s="97"/>
      <c r="K40" s="97"/>
      <c r="L40" s="97"/>
      <c r="M40" s="97"/>
      <c r="N40"/>
      <c r="O40"/>
      <c r="P40"/>
      <c r="Q40"/>
      <c r="R40"/>
      <c r="S40"/>
      <c r="T40"/>
      <c r="U40"/>
      <c r="V40"/>
      <c r="W40"/>
      <c r="X40"/>
      <c r="Y40"/>
      <c r="Z40"/>
      <c r="AA40" s="99"/>
      <c r="AB40"/>
      <c r="AC40"/>
      <c r="AD40"/>
      <c r="AE40"/>
      <c r="AF40" s="99"/>
      <c r="AG40" s="99"/>
      <c r="AH40"/>
    </row>
    <row r="41" spans="1:34" ht="15" x14ac:dyDescent="0.25">
      <c r="A41" s="97"/>
      <c r="B41" s="100"/>
      <c r="C41" s="105"/>
      <c r="D41" s="97"/>
      <c r="E41" s="117"/>
      <c r="F41" s="104"/>
      <c r="G41" s="97"/>
      <c r="H41" s="97"/>
      <c r="I41" s="97"/>
      <c r="J41" s="97"/>
      <c r="K41" s="97"/>
      <c r="L41" s="97"/>
      <c r="M41" s="97"/>
      <c r="N41"/>
      <c r="O41"/>
      <c r="P41"/>
      <c r="Q41"/>
      <c r="R41"/>
      <c r="S41"/>
      <c r="T41"/>
      <c r="U41"/>
      <c r="V41"/>
      <c r="W41"/>
      <c r="X41"/>
      <c r="Y41"/>
      <c r="Z41"/>
      <c r="AA41" s="99"/>
      <c r="AB41"/>
      <c r="AC41"/>
      <c r="AD41"/>
      <c r="AE41"/>
      <c r="AF41" s="99"/>
      <c r="AG41" s="99"/>
      <c r="AH41"/>
    </row>
    <row r="42" spans="1:34" ht="15" x14ac:dyDescent="0.25">
      <c r="A42" s="97"/>
      <c r="B42" s="100"/>
      <c r="C42" s="105"/>
      <c r="D42" s="97"/>
      <c r="E42" s="117"/>
      <c r="F42" s="104"/>
      <c r="G42" s="97"/>
      <c r="H42" s="97"/>
      <c r="I42" s="97"/>
      <c r="J42" s="97"/>
      <c r="K42" s="97"/>
      <c r="L42" s="97"/>
      <c r="M42" s="97"/>
      <c r="N42"/>
      <c r="O42"/>
      <c r="P42"/>
      <c r="Q42"/>
      <c r="R42"/>
      <c r="S42"/>
      <c r="T42"/>
      <c r="U42"/>
      <c r="V42"/>
      <c r="W42"/>
      <c r="X42"/>
      <c r="Y42"/>
      <c r="Z42"/>
      <c r="AA42" s="99"/>
      <c r="AB42"/>
      <c r="AC42"/>
      <c r="AD42"/>
      <c r="AE42"/>
      <c r="AF42" s="99"/>
      <c r="AG42" s="99"/>
      <c r="AH42"/>
    </row>
    <row r="43" spans="1:34" ht="15" x14ac:dyDescent="0.25">
      <c r="A43" s="97"/>
      <c r="B43" s="100" t="s">
        <v>224</v>
      </c>
      <c r="C43" s="105">
        <v>11</v>
      </c>
      <c r="D43" s="97"/>
      <c r="E43" s="117"/>
      <c r="F43" s="104"/>
      <c r="G43" s="97"/>
      <c r="H43" s="97"/>
      <c r="I43" s="97"/>
      <c r="J43" s="97"/>
      <c r="K43" s="97"/>
      <c r="L43" s="97"/>
      <c r="M43" s="97"/>
      <c r="N43"/>
      <c r="O43"/>
      <c r="P43"/>
      <c r="Q43"/>
      <c r="R43"/>
      <c r="S43"/>
      <c r="T43"/>
      <c r="U43"/>
      <c r="V43"/>
      <c r="W43"/>
      <c r="X43"/>
      <c r="Y43"/>
      <c r="Z43"/>
      <c r="AA43" s="99"/>
      <c r="AB43"/>
      <c r="AC43"/>
      <c r="AD43"/>
      <c r="AE43"/>
      <c r="AF43" s="99"/>
      <c r="AG43" s="99"/>
      <c r="AH43"/>
    </row>
    <row r="44" spans="1:34" ht="15" x14ac:dyDescent="0.25">
      <c r="A44" s="97"/>
      <c r="B44" s="100" t="s">
        <v>225</v>
      </c>
      <c r="C44" s="105">
        <v>23</v>
      </c>
      <c r="D44" s="97"/>
      <c r="E44" s="117"/>
      <c r="F44" s="104"/>
      <c r="G44" s="97"/>
      <c r="H44" s="97"/>
      <c r="I44" s="97"/>
      <c r="J44" s="97"/>
      <c r="K44" s="97"/>
      <c r="L44" s="97"/>
      <c r="M44" s="97"/>
      <c r="N44"/>
      <c r="O44"/>
      <c r="P44"/>
      <c r="Q44"/>
      <c r="R44"/>
      <c r="S44"/>
      <c r="T44"/>
      <c r="U44"/>
      <c r="V44"/>
      <c r="W44"/>
      <c r="X44"/>
      <c r="Y44"/>
      <c r="Z44"/>
      <c r="AA44" s="99"/>
      <c r="AB44"/>
      <c r="AC44"/>
      <c r="AD44"/>
      <c r="AE44"/>
      <c r="AF44" s="99"/>
      <c r="AG44" s="99"/>
      <c r="AH44"/>
    </row>
    <row r="45" spans="1:34" ht="15" x14ac:dyDescent="0.25">
      <c r="A45" s="97"/>
      <c r="B45" s="100" t="s">
        <v>226</v>
      </c>
      <c r="C45" s="105">
        <v>25</v>
      </c>
      <c r="D45" s="97"/>
      <c r="E45" s="117"/>
      <c r="F45" s="104"/>
      <c r="G45" s="97"/>
      <c r="H45" s="97"/>
      <c r="I45" s="97"/>
      <c r="J45" s="97"/>
      <c r="K45" s="97"/>
      <c r="L45" s="97"/>
      <c r="M45" s="97"/>
      <c r="N45"/>
      <c r="O45"/>
      <c r="P45"/>
      <c r="Q45"/>
      <c r="R45"/>
      <c r="S45"/>
      <c r="T45"/>
      <c r="U45"/>
      <c r="V45"/>
      <c r="W45"/>
      <c r="X45"/>
      <c r="Y45"/>
      <c r="Z45"/>
      <c r="AA45" s="99"/>
      <c r="AB45"/>
      <c r="AC45"/>
      <c r="AD45"/>
      <c r="AE45"/>
      <c r="AF45" s="99"/>
      <c r="AG45" s="99"/>
      <c r="AH45"/>
    </row>
    <row r="46" spans="1:34" ht="15" x14ac:dyDescent="0.25">
      <c r="A46" s="97"/>
      <c r="B46" s="100" t="s">
        <v>227</v>
      </c>
      <c r="C46" s="105">
        <v>19</v>
      </c>
      <c r="D46" s="97"/>
      <c r="E46" s="117"/>
      <c r="F46" s="104"/>
      <c r="G46" s="97"/>
      <c r="H46" s="97"/>
      <c r="I46" s="97"/>
      <c r="J46" s="97"/>
      <c r="K46" s="97"/>
      <c r="L46" s="97"/>
      <c r="M46" s="97"/>
      <c r="N46"/>
      <c r="O46"/>
      <c r="P46"/>
      <c r="Q46"/>
      <c r="R46"/>
      <c r="S46"/>
      <c r="T46"/>
      <c r="U46"/>
      <c r="V46"/>
      <c r="W46"/>
      <c r="X46"/>
      <c r="Y46"/>
      <c r="Z46"/>
      <c r="AA46" s="99"/>
      <c r="AB46"/>
      <c r="AC46"/>
      <c r="AD46"/>
      <c r="AE46"/>
      <c r="AF46" s="99"/>
      <c r="AG46" s="99"/>
      <c r="AH46"/>
    </row>
    <row r="47" spans="1:34" ht="15" x14ac:dyDescent="0.25">
      <c r="A47" s="97"/>
      <c r="B47" s="100" t="s">
        <v>228</v>
      </c>
      <c r="C47" s="105">
        <v>20</v>
      </c>
      <c r="D47" s="97"/>
      <c r="E47" s="117"/>
      <c r="F47" s="104"/>
      <c r="G47" s="97"/>
      <c r="H47" s="97"/>
      <c r="I47" s="97"/>
      <c r="J47" s="97"/>
      <c r="K47" s="97"/>
      <c r="L47" s="97"/>
      <c r="M47" s="97"/>
      <c r="N47"/>
      <c r="O47"/>
      <c r="P47"/>
      <c r="Q47"/>
      <c r="R47"/>
      <c r="S47"/>
      <c r="T47"/>
      <c r="U47"/>
      <c r="V47"/>
      <c r="W47"/>
      <c r="X47"/>
      <c r="Y47"/>
      <c r="Z47"/>
      <c r="AA47" s="99"/>
      <c r="AB47"/>
      <c r="AC47"/>
      <c r="AD47"/>
      <c r="AE47"/>
      <c r="AF47" s="99"/>
      <c r="AG47" s="99"/>
      <c r="AH47"/>
    </row>
    <row r="48" spans="1:34" ht="15" x14ac:dyDescent="0.25">
      <c r="A48" s="97"/>
      <c r="B48" s="100" t="s">
        <v>229</v>
      </c>
      <c r="C48" s="105">
        <v>14</v>
      </c>
      <c r="D48" s="97"/>
      <c r="E48" s="117"/>
      <c r="F48" s="104"/>
      <c r="G48" s="97"/>
      <c r="H48" s="97"/>
      <c r="I48" s="97"/>
      <c r="J48" s="97"/>
      <c r="K48" s="97"/>
      <c r="L48" s="97"/>
      <c r="M48" s="97"/>
      <c r="N48"/>
      <c r="O48"/>
      <c r="P48"/>
      <c r="Q48"/>
      <c r="R48"/>
      <c r="S48"/>
      <c r="T48"/>
      <c r="U48"/>
      <c r="V48"/>
      <c r="W48"/>
      <c r="X48"/>
      <c r="Y48"/>
      <c r="Z48"/>
      <c r="AA48" s="99"/>
      <c r="AB48"/>
      <c r="AC48"/>
      <c r="AD48"/>
      <c r="AE48"/>
      <c r="AF48" s="99"/>
      <c r="AG48" s="99"/>
      <c r="AH48"/>
    </row>
    <row r="49" spans="1:34" ht="13.5" thickBot="1" x14ac:dyDescent="0.25">
      <c r="A49" s="97"/>
      <c r="B49" s="143" t="s">
        <v>230</v>
      </c>
      <c r="C49" s="116">
        <v>10</v>
      </c>
      <c r="D49" s="97"/>
      <c r="E49" s="104"/>
      <c r="F49" s="104"/>
      <c r="G49" s="97"/>
      <c r="H49" s="97"/>
      <c r="I49" s="97"/>
      <c r="J49" s="97"/>
      <c r="K49" s="97"/>
      <c r="L49" s="97"/>
      <c r="M49" s="97"/>
      <c r="N49"/>
      <c r="O49"/>
      <c r="P49"/>
      <c r="Q49"/>
      <c r="R49"/>
      <c r="S49"/>
      <c r="T49"/>
      <c r="U49"/>
      <c r="V49"/>
      <c r="W49"/>
      <c r="X49"/>
      <c r="Y49"/>
      <c r="Z49"/>
      <c r="AA49" s="99"/>
      <c r="AB49"/>
      <c r="AC49"/>
      <c r="AD49"/>
      <c r="AE49"/>
      <c r="AF49" s="99"/>
      <c r="AG49" s="99"/>
      <c r="AH49"/>
    </row>
    <row r="50" spans="1:34" ht="15" x14ac:dyDescent="0.25">
      <c r="A50" s="97"/>
      <c r="B50" s="122"/>
      <c r="C50" s="97"/>
      <c r="D50" s="97"/>
      <c r="E50" s="104"/>
      <c r="F50" s="104"/>
      <c r="G50" s="97"/>
      <c r="H50" s="97"/>
      <c r="I50" s="97"/>
      <c r="J50" s="97"/>
      <c r="K50" s="97"/>
      <c r="L50" s="97"/>
      <c r="M50" s="97"/>
      <c r="N50"/>
      <c r="O50"/>
      <c r="P50"/>
      <c r="Q50"/>
      <c r="R50"/>
      <c r="S50"/>
      <c r="T50"/>
      <c r="U50"/>
      <c r="V50"/>
      <c r="W50"/>
      <c r="X50"/>
      <c r="Y50"/>
      <c r="Z50"/>
      <c r="AA50" s="99"/>
      <c r="AB50"/>
      <c r="AC50"/>
      <c r="AD50"/>
      <c r="AE50"/>
      <c r="AF50" s="99"/>
      <c r="AG50" s="99"/>
      <c r="AH50"/>
    </row>
    <row r="51" spans="1:34" ht="15" x14ac:dyDescent="0.25">
      <c r="A51" s="97"/>
      <c r="B51" s="97"/>
      <c r="C51" s="97"/>
      <c r="D51" s="123"/>
      <c r="E51" s="124"/>
      <c r="F51" s="125"/>
      <c r="G51" s="97"/>
      <c r="H51" s="97"/>
      <c r="I51" s="97"/>
      <c r="J51" s="97"/>
      <c r="K51" s="97"/>
      <c r="L51" s="97"/>
      <c r="M51" s="97"/>
      <c r="N51"/>
      <c r="O51"/>
      <c r="P51"/>
      <c r="Q51"/>
      <c r="R51"/>
      <c r="S51"/>
      <c r="T51"/>
      <c r="U51"/>
      <c r="V51"/>
      <c r="W51"/>
      <c r="X51"/>
      <c r="Y51"/>
      <c r="Z51"/>
      <c r="AA51" s="99"/>
      <c r="AB51"/>
      <c r="AC51"/>
      <c r="AD51"/>
      <c r="AE51"/>
      <c r="AF51" s="99"/>
      <c r="AG51" s="99"/>
      <c r="AH51"/>
    </row>
    <row r="52" spans="1:34" ht="15" x14ac:dyDescent="0.25">
      <c r="A52" s="126"/>
      <c r="B52"/>
      <c r="C52"/>
      <c r="D52" s="127"/>
      <c r="E52" s="127"/>
      <c r="F52" s="127"/>
      <c r="G52" s="97"/>
      <c r="H52" s="97"/>
      <c r="I52" s="97"/>
      <c r="J52" s="97"/>
      <c r="K52" s="97"/>
      <c r="L52" s="97"/>
      <c r="M52" s="97"/>
      <c r="N52"/>
      <c r="O52" s="99"/>
      <c r="P52" s="99"/>
      <c r="Q52" s="97"/>
      <c r="R52"/>
      <c r="S52"/>
      <c r="T52"/>
      <c r="U52"/>
      <c r="V52"/>
      <c r="W52"/>
      <c r="X52"/>
      <c r="Y52"/>
      <c r="Z52"/>
      <c r="AA52" s="99"/>
      <c r="AB52"/>
      <c r="AC52"/>
      <c r="AD52"/>
      <c r="AE52"/>
      <c r="AF52"/>
      <c r="AG52"/>
      <c r="AH52"/>
    </row>
    <row r="53" spans="1:34" ht="15" x14ac:dyDescent="0.25">
      <c r="A53" s="128"/>
      <c r="B53"/>
      <c r="C53"/>
      <c r="D53" s="127"/>
      <c r="E53" s="127"/>
      <c r="F53" s="127"/>
      <c r="G53" s="97"/>
      <c r="H53" s="97"/>
      <c r="I53" s="97"/>
      <c r="J53" s="97"/>
      <c r="K53" s="97"/>
      <c r="L53" s="97"/>
      <c r="M53" s="97"/>
      <c r="N53" s="106"/>
      <c r="O53" s="106"/>
      <c r="P53" s="129"/>
      <c r="Q53" s="130"/>
      <c r="R53"/>
      <c r="S53"/>
      <c r="T53"/>
      <c r="U53"/>
      <c r="V53"/>
      <c r="W53"/>
      <c r="X53"/>
      <c r="Y53"/>
      <c r="Z53"/>
      <c r="AA53" s="99"/>
      <c r="AB53"/>
      <c r="AC53"/>
      <c r="AD53"/>
      <c r="AE53"/>
      <c r="AF53"/>
      <c r="AG53"/>
      <c r="AH53"/>
    </row>
    <row r="54" spans="1:34" ht="15" x14ac:dyDescent="0.25">
      <c r="A54" s="126"/>
      <c r="B54"/>
      <c r="C54"/>
      <c r="D54" s="127"/>
      <c r="E54" s="127"/>
      <c r="F54" s="127"/>
      <c r="G54" s="97"/>
      <c r="H54" s="97"/>
      <c r="I54" s="97"/>
      <c r="J54" s="97"/>
      <c r="K54" s="97"/>
      <c r="L54" s="97"/>
      <c r="M54" s="97"/>
      <c r="N54" s="106"/>
      <c r="O54" s="106"/>
      <c r="P54" s="129"/>
      <c r="Q54" s="126"/>
      <c r="R54"/>
      <c r="S54"/>
      <c r="T54"/>
      <c r="U54"/>
      <c r="V54"/>
      <c r="W54"/>
      <c r="X54"/>
      <c r="Y54"/>
      <c r="Z54"/>
      <c r="AA54" s="99"/>
      <c r="AB54"/>
      <c r="AC54"/>
      <c r="AD54"/>
      <c r="AE54"/>
      <c r="AF54"/>
      <c r="AG54"/>
      <c r="AH54"/>
    </row>
    <row r="55" spans="1:34" ht="15" x14ac:dyDescent="0.25">
      <c r="A55" s="126"/>
      <c r="B55"/>
      <c r="C55"/>
      <c r="D55" s="127"/>
      <c r="E55" s="127"/>
      <c r="F55" s="127"/>
      <c r="G55" s="97"/>
      <c r="H55" s="97"/>
      <c r="I55" s="97"/>
      <c r="J55" s="97"/>
      <c r="K55" s="97"/>
      <c r="L55" s="97"/>
      <c r="M55" s="97"/>
      <c r="N55" s="106"/>
      <c r="O55" s="106"/>
      <c r="P55" s="129"/>
      <c r="Q55" s="130"/>
      <c r="R55"/>
      <c r="S55"/>
      <c r="T55"/>
      <c r="U55"/>
      <c r="V55"/>
      <c r="W55"/>
      <c r="X55"/>
      <c r="Y55"/>
      <c r="Z55"/>
      <c r="AA55" s="99"/>
      <c r="AB55"/>
      <c r="AC55"/>
      <c r="AD55"/>
      <c r="AE55"/>
      <c r="AF55"/>
      <c r="AG55"/>
      <c r="AH55"/>
    </row>
    <row r="56" spans="1:34" ht="15" x14ac:dyDescent="0.25">
      <c r="A56" s="97"/>
      <c r="B56"/>
      <c r="C56"/>
      <c r="D56" s="97"/>
      <c r="E56" s="97"/>
      <c r="F56" s="97"/>
      <c r="G56" s="97"/>
      <c r="H56" s="97"/>
      <c r="I56" s="97"/>
      <c r="J56" s="97"/>
      <c r="K56" s="97"/>
      <c r="L56" s="97"/>
      <c r="M56" s="97"/>
      <c r="N56" s="106"/>
      <c r="O56" s="106"/>
      <c r="P56" s="129"/>
      <c r="Q56" s="130"/>
      <c r="R56"/>
      <c r="S56"/>
      <c r="T56"/>
      <c r="U56"/>
      <c r="V56"/>
      <c r="W56"/>
      <c r="X56"/>
      <c r="Y56"/>
      <c r="Z56"/>
      <c r="AA56" s="99"/>
      <c r="AB56"/>
      <c r="AC56"/>
      <c r="AD56"/>
      <c r="AE56"/>
      <c r="AF56"/>
      <c r="AG56"/>
      <c r="AH56"/>
    </row>
    <row r="57" spans="1:34" ht="15" x14ac:dyDescent="0.25">
      <c r="A57" s="97"/>
      <c r="B57"/>
      <c r="C57"/>
      <c r="D57" s="97"/>
      <c r="E57" s="97"/>
      <c r="F57" s="97"/>
      <c r="G57" s="97"/>
      <c r="H57" s="97"/>
      <c r="I57" s="97"/>
      <c r="J57" s="97"/>
      <c r="K57" s="97"/>
      <c r="L57" s="97"/>
      <c r="M57" s="97"/>
      <c r="N57" s="106"/>
      <c r="O57" s="106"/>
      <c r="P57" s="129"/>
      <c r="Q57" s="130"/>
      <c r="R57"/>
      <c r="S57"/>
      <c r="T57"/>
      <c r="U57"/>
      <c r="V57"/>
      <c r="W57"/>
      <c r="X57"/>
      <c r="Y57"/>
      <c r="Z57"/>
      <c r="AA57" s="99"/>
      <c r="AB57"/>
      <c r="AC57"/>
      <c r="AD57"/>
      <c r="AE57"/>
      <c r="AF57"/>
      <c r="AG57"/>
      <c r="AH57"/>
    </row>
    <row r="58" spans="1:34" ht="15" x14ac:dyDescent="0.25">
      <c r="A58" s="97"/>
      <c r="B58"/>
      <c r="C58"/>
      <c r="D58" s="97"/>
      <c r="E58" s="97"/>
      <c r="F58" s="97"/>
      <c r="G58" s="97"/>
      <c r="H58" s="97"/>
      <c r="I58" s="97"/>
      <c r="J58" s="97"/>
      <c r="K58" s="97"/>
      <c r="L58" s="97"/>
      <c r="M58" s="97"/>
      <c r="N58" s="106"/>
      <c r="O58" s="106"/>
      <c r="P58" s="129"/>
      <c r="Q58" s="130"/>
      <c r="R58"/>
      <c r="S58"/>
      <c r="T58"/>
      <c r="U58"/>
      <c r="V58"/>
      <c r="W58"/>
      <c r="X58"/>
      <c r="Y58"/>
      <c r="Z58"/>
      <c r="AA58" s="99"/>
      <c r="AB58"/>
      <c r="AC58"/>
      <c r="AD58"/>
      <c r="AE58"/>
      <c r="AF58"/>
      <c r="AG58"/>
      <c r="AH58"/>
    </row>
    <row r="59" spans="1:34" ht="15" x14ac:dyDescent="0.25">
      <c r="A59" s="97"/>
      <c r="B59"/>
      <c r="C59"/>
      <c r="D59" s="97"/>
      <c r="E59" s="97"/>
      <c r="F59" s="97"/>
      <c r="G59" s="97"/>
      <c r="H59" s="97"/>
      <c r="I59" s="97"/>
      <c r="J59" s="97"/>
      <c r="K59" s="97"/>
      <c r="L59" s="97"/>
      <c r="M59" s="97"/>
      <c r="N59" s="106"/>
      <c r="O59" s="112"/>
      <c r="P59" s="131"/>
      <c r="Q59" s="130"/>
      <c r="R59" s="132"/>
      <c r="S59"/>
      <c r="T59"/>
      <c r="U59"/>
      <c r="V59"/>
      <c r="W59"/>
      <c r="X59"/>
      <c r="Y59"/>
      <c r="Z59"/>
      <c r="AA59" s="99"/>
      <c r="AB59"/>
      <c r="AC59"/>
      <c r="AD59"/>
      <c r="AE59"/>
      <c r="AF59"/>
      <c r="AG59"/>
      <c r="AH59"/>
    </row>
    <row r="60" spans="1:34" ht="15" x14ac:dyDescent="0.25">
      <c r="A60" s="97"/>
      <c r="B60"/>
      <c r="C60" s="97"/>
      <c r="D60" s="97"/>
      <c r="E60" s="97"/>
      <c r="F60" s="97"/>
      <c r="G60" s="97"/>
      <c r="H60" s="97"/>
      <c r="I60" s="97"/>
      <c r="J60" s="97"/>
      <c r="K60" s="97"/>
      <c r="L60" s="97"/>
      <c r="M60" s="97"/>
      <c r="N60" s="133"/>
      <c r="O60" s="112"/>
      <c r="P60" s="131"/>
      <c r="Q60"/>
      <c r="R60" s="132"/>
      <c r="S60"/>
      <c r="T60"/>
      <c r="U60"/>
      <c r="V60"/>
      <c r="W60"/>
      <c r="X60"/>
      <c r="Y60"/>
      <c r="Z60"/>
      <c r="AA60" s="99"/>
      <c r="AB60"/>
      <c r="AC60"/>
      <c r="AD60"/>
      <c r="AE60"/>
      <c r="AF60"/>
      <c r="AG60"/>
      <c r="AH60"/>
    </row>
    <row r="61" spans="1:34" ht="15" x14ac:dyDescent="0.25">
      <c r="A61"/>
      <c r="B61"/>
      <c r="C61"/>
      <c r="D61"/>
      <c r="E61"/>
      <c r="F61"/>
      <c r="G61"/>
      <c r="H61"/>
      <c r="I61"/>
      <c r="J61"/>
      <c r="K61"/>
      <c r="L61"/>
      <c r="M61"/>
      <c r="N61" s="106"/>
      <c r="O61" s="99"/>
      <c r="P61" s="134"/>
      <c r="Q61" s="128"/>
      <c r="R61" s="132"/>
      <c r="S61"/>
      <c r="T61"/>
      <c r="U61"/>
      <c r="V61"/>
      <c r="W61"/>
      <c r="X61"/>
      <c r="Y61"/>
      <c r="Z61"/>
      <c r="AA61" s="99"/>
      <c r="AB61"/>
      <c r="AC61"/>
      <c r="AD61"/>
      <c r="AE61"/>
      <c r="AF61"/>
      <c r="AG61"/>
      <c r="AH61"/>
    </row>
    <row r="62" spans="1:34" x14ac:dyDescent="0.2">
      <c r="A62"/>
      <c r="B62"/>
      <c r="C62"/>
      <c r="D62"/>
      <c r="E62"/>
      <c r="F62"/>
      <c r="G62"/>
      <c r="H62"/>
      <c r="I62"/>
      <c r="J62"/>
      <c r="K62"/>
      <c r="L62"/>
      <c r="M62"/>
      <c r="N62"/>
      <c r="O62"/>
      <c r="P62"/>
      <c r="Q62"/>
      <c r="R62"/>
      <c r="S62"/>
      <c r="T62"/>
      <c r="U62"/>
      <c r="V62"/>
      <c r="W62"/>
      <c r="X62"/>
      <c r="Y62"/>
      <c r="Z62"/>
      <c r="AA62" s="99"/>
      <c r="AB62"/>
      <c r="AC62"/>
      <c r="AD62"/>
      <c r="AE62"/>
      <c r="AF62"/>
      <c r="AG62"/>
      <c r="AH62"/>
    </row>
    <row r="63" spans="1:34" x14ac:dyDescent="0.2">
      <c r="A63"/>
      <c r="B63"/>
      <c r="C63"/>
      <c r="D63"/>
      <c r="E63"/>
      <c r="F63"/>
      <c r="G63"/>
      <c r="H63"/>
      <c r="I63"/>
      <c r="J63"/>
      <c r="K63"/>
      <c r="L63"/>
      <c r="M63"/>
      <c r="N63"/>
      <c r="O63"/>
      <c r="P63"/>
      <c r="Q63"/>
      <c r="R63"/>
      <c r="S63"/>
      <c r="T63"/>
      <c r="U63"/>
      <c r="V63"/>
      <c r="W63"/>
      <c r="X63"/>
      <c r="Y63"/>
      <c r="Z63"/>
      <c r="AA63" s="99"/>
      <c r="AB63"/>
      <c r="AC63"/>
      <c r="AD63"/>
      <c r="AE63"/>
      <c r="AF63"/>
      <c r="AG63"/>
      <c r="AH63"/>
    </row>
  </sheetData>
  <mergeCells count="8">
    <mergeCell ref="B13:C13"/>
    <mergeCell ref="E17:E19"/>
    <mergeCell ref="G14:I14"/>
    <mergeCell ref="C25:D25"/>
    <mergeCell ref="T26:AH26"/>
    <mergeCell ref="H25:L25"/>
    <mergeCell ref="N25:Q25"/>
    <mergeCell ref="G15:I15"/>
  </mergeCells>
  <dataValidations count="4">
    <dataValidation type="list" allowBlank="1" showInputMessage="1" showErrorMessage="1" sqref="AD28:AD30" xr:uid="{00000000-0002-0000-0100-000000000000}">
      <formula1>$B$33:$B$38</formula1>
    </dataValidation>
    <dataValidation type="list" allowBlank="1" showInputMessage="1" showErrorMessage="1" sqref="U28:U30" xr:uid="{00000000-0002-0000-0100-000001000000}">
      <formula1>$B$27:$B$53</formula1>
    </dataValidation>
    <dataValidation type="list" allowBlank="1" showInputMessage="1" showErrorMessage="1" sqref="W28:W30" xr:uid="{00000000-0002-0000-0100-000002000000}">
      <formula1>$H$27:$H$29</formula1>
    </dataValidation>
    <dataValidation type="list" allowBlank="1" showInputMessage="1" showErrorMessage="1" sqref="T28:T30 AB28:AC30 Z28:Z30" xr:uid="{00000000-0002-0000-0100-000003000000}">
      <formula1>$J$27:$J$28</formula1>
    </dataValidation>
  </dataValidations>
  <pageMargins left="0.75" right="0.75" top="1" bottom="1" header="0.5" footer="0.5"/>
  <pageSetup orientation="portrait" horizontalDpi="90" verticalDpi="9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4:P98"/>
  <sheetViews>
    <sheetView tabSelected="1" workbookViewId="0">
      <selection activeCell="O41" sqref="O41"/>
    </sheetView>
  </sheetViews>
  <sheetFormatPr defaultRowHeight="12.75" x14ac:dyDescent="0.2"/>
  <cols>
    <col min="2" max="2" width="16.85546875" bestFit="1" customWidth="1"/>
  </cols>
  <sheetData>
    <row r="14" spans="3:14" ht="13.5" thickBot="1" x14ac:dyDescent="0.25"/>
    <row r="15" spans="3:14" ht="13.5" thickBot="1" x14ac:dyDescent="0.25">
      <c r="C15" s="435" t="s">
        <v>248</v>
      </c>
      <c r="D15" s="419"/>
      <c r="E15" s="419"/>
      <c r="F15" s="419"/>
      <c r="G15" s="419"/>
      <c r="H15" s="419"/>
      <c r="I15" s="419"/>
      <c r="J15" s="419"/>
      <c r="K15" s="420"/>
      <c r="L15" s="441"/>
      <c r="M15" s="428" t="s">
        <v>449</v>
      </c>
      <c r="N15" s="428" t="s">
        <v>452</v>
      </c>
    </row>
    <row r="16" spans="3:14" x14ac:dyDescent="0.2">
      <c r="C16" s="444">
        <v>2000</v>
      </c>
      <c r="D16" s="445"/>
      <c r="E16" s="446"/>
      <c r="F16" s="444">
        <v>2001</v>
      </c>
      <c r="G16" s="445"/>
      <c r="H16" s="446"/>
      <c r="I16" s="444">
        <v>2002</v>
      </c>
      <c r="J16" s="445"/>
      <c r="K16" s="446"/>
      <c r="L16" s="442"/>
      <c r="M16" s="429"/>
      <c r="N16" s="429"/>
    </row>
    <row r="17" spans="2:15" s="97" customFormat="1" ht="13.5" thickBot="1" x14ac:dyDescent="0.25">
      <c r="C17" s="188" t="s">
        <v>242</v>
      </c>
      <c r="D17" s="189" t="s">
        <v>243</v>
      </c>
      <c r="E17" s="190" t="s">
        <v>244</v>
      </c>
      <c r="F17" s="188" t="s">
        <v>242</v>
      </c>
      <c r="G17" s="189" t="s">
        <v>243</v>
      </c>
      <c r="H17" s="190" t="s">
        <v>244</v>
      </c>
      <c r="I17" s="188" t="s">
        <v>242</v>
      </c>
      <c r="J17" s="189" t="s">
        <v>243</v>
      </c>
      <c r="K17" s="255" t="s">
        <v>244</v>
      </c>
      <c r="L17" s="443"/>
      <c r="M17" s="429"/>
      <c r="N17" s="429"/>
    </row>
    <row r="18" spans="2:15" ht="13.5" thickBot="1" x14ac:dyDescent="0.25">
      <c r="B18" s="182" t="s">
        <v>249</v>
      </c>
      <c r="C18" s="183"/>
      <c r="D18" s="184"/>
      <c r="E18" s="185"/>
      <c r="F18" s="256"/>
      <c r="G18" s="257"/>
      <c r="H18" s="258"/>
      <c r="I18" s="259"/>
      <c r="J18" s="257"/>
      <c r="K18" s="260"/>
      <c r="L18" s="261"/>
      <c r="M18" s="385">
        <v>2.4</v>
      </c>
      <c r="N18" s="389">
        <f>M18*1000</f>
        <v>2400</v>
      </c>
      <c r="O18" s="181"/>
    </row>
    <row r="19" spans="2:15" x14ac:dyDescent="0.2">
      <c r="B19" s="169" t="s">
        <v>236</v>
      </c>
      <c r="C19" s="163">
        <v>8700</v>
      </c>
      <c r="D19" s="162">
        <v>2575</v>
      </c>
      <c r="E19" s="171">
        <v>127</v>
      </c>
      <c r="F19" s="174">
        <v>13400</v>
      </c>
      <c r="G19" s="175">
        <v>3819</v>
      </c>
      <c r="H19" s="176">
        <v>255</v>
      </c>
      <c r="I19" s="178">
        <v>8600</v>
      </c>
      <c r="J19" s="175">
        <v>3904</v>
      </c>
      <c r="K19" s="252">
        <v>211</v>
      </c>
      <c r="L19" s="264"/>
      <c r="M19" s="386">
        <v>3.3</v>
      </c>
      <c r="N19" s="375">
        <f t="shared" ref="N19:N25" si="0">M19*1000</f>
        <v>3300</v>
      </c>
      <c r="O19" s="181"/>
    </row>
    <row r="20" spans="2:15" x14ac:dyDescent="0.2">
      <c r="B20" s="169" t="s">
        <v>237</v>
      </c>
      <c r="C20" s="164">
        <v>8700</v>
      </c>
      <c r="D20" s="161">
        <v>2575</v>
      </c>
      <c r="E20" s="172">
        <v>127</v>
      </c>
      <c r="F20" s="164">
        <v>13400</v>
      </c>
      <c r="G20" s="161">
        <v>3819</v>
      </c>
      <c r="H20" s="165">
        <v>255</v>
      </c>
      <c r="I20" s="179">
        <v>8600</v>
      </c>
      <c r="J20" s="161">
        <v>3904</v>
      </c>
      <c r="K20" s="172">
        <v>211</v>
      </c>
      <c r="L20" s="264"/>
      <c r="M20" s="386">
        <v>14.4</v>
      </c>
      <c r="N20" s="375">
        <f t="shared" si="0"/>
        <v>14400</v>
      </c>
      <c r="O20" s="181"/>
    </row>
    <row r="21" spans="2:15" x14ac:dyDescent="0.2">
      <c r="B21" s="169" t="s">
        <v>238</v>
      </c>
      <c r="C21" s="164">
        <v>43700</v>
      </c>
      <c r="D21" s="161">
        <v>12935</v>
      </c>
      <c r="E21" s="172">
        <v>638</v>
      </c>
      <c r="F21" s="164">
        <v>66900</v>
      </c>
      <c r="G21" s="161">
        <v>19067</v>
      </c>
      <c r="H21" s="177">
        <v>1271</v>
      </c>
      <c r="I21" s="179">
        <v>32900</v>
      </c>
      <c r="J21" s="161">
        <v>14937</v>
      </c>
      <c r="K21" s="172">
        <v>836</v>
      </c>
      <c r="L21" s="264"/>
      <c r="M21" s="387">
        <v>11.6</v>
      </c>
      <c r="N21" s="375">
        <f t="shared" si="0"/>
        <v>11600</v>
      </c>
      <c r="O21" s="181"/>
    </row>
    <row r="22" spans="2:15" x14ac:dyDescent="0.2">
      <c r="B22" s="169" t="s">
        <v>239</v>
      </c>
      <c r="C22" s="164">
        <v>43700</v>
      </c>
      <c r="D22" s="161">
        <v>12935</v>
      </c>
      <c r="E22" s="172">
        <v>638</v>
      </c>
      <c r="F22" s="140">
        <v>0</v>
      </c>
      <c r="G22" s="136">
        <v>0</v>
      </c>
      <c r="H22" s="165">
        <v>0</v>
      </c>
      <c r="I22" s="179">
        <v>40800</v>
      </c>
      <c r="J22" s="161">
        <v>18523</v>
      </c>
      <c r="K22" s="253">
        <v>1000</v>
      </c>
      <c r="L22" s="264"/>
      <c r="M22" s="387">
        <v>4.5999999999999996</v>
      </c>
      <c r="N22" s="375">
        <f t="shared" si="0"/>
        <v>4600</v>
      </c>
      <c r="O22" s="181"/>
    </row>
    <row r="23" spans="2:15" x14ac:dyDescent="0.2">
      <c r="B23" s="169" t="s">
        <v>240</v>
      </c>
      <c r="C23" s="164">
        <v>43700</v>
      </c>
      <c r="D23" s="161">
        <v>12935</v>
      </c>
      <c r="E23" s="172">
        <v>638</v>
      </c>
      <c r="F23" s="140">
        <v>0</v>
      </c>
      <c r="G23" s="136">
        <v>0</v>
      </c>
      <c r="H23" s="165">
        <v>0</v>
      </c>
      <c r="I23" s="179">
        <v>40800</v>
      </c>
      <c r="J23" s="161">
        <v>18523</v>
      </c>
      <c r="K23" s="253">
        <v>1000</v>
      </c>
      <c r="L23" s="264"/>
      <c r="M23" s="387">
        <v>14.4</v>
      </c>
      <c r="N23" s="375">
        <f t="shared" si="0"/>
        <v>14400</v>
      </c>
      <c r="O23" s="181"/>
    </row>
    <row r="24" spans="2:15" ht="13.5" thickBot="1" x14ac:dyDescent="0.25">
      <c r="B24" s="170" t="s">
        <v>241</v>
      </c>
      <c r="C24" s="166">
        <v>2150</v>
      </c>
      <c r="D24" s="167">
        <v>1034</v>
      </c>
      <c r="E24" s="173">
        <v>104</v>
      </c>
      <c r="F24" s="166">
        <v>4760</v>
      </c>
      <c r="G24" s="167">
        <v>2313</v>
      </c>
      <c r="H24" s="168">
        <v>220</v>
      </c>
      <c r="I24" s="180">
        <v>5780</v>
      </c>
      <c r="J24" s="167">
        <v>2746</v>
      </c>
      <c r="K24" s="173">
        <v>266</v>
      </c>
      <c r="L24" s="264"/>
      <c r="M24" s="387">
        <v>14.4</v>
      </c>
      <c r="N24" s="375">
        <f t="shared" si="0"/>
        <v>14400</v>
      </c>
      <c r="O24" s="181"/>
    </row>
    <row r="25" spans="2:15" ht="13.5" thickBot="1" x14ac:dyDescent="0.25">
      <c r="B25" s="262" t="s">
        <v>250</v>
      </c>
      <c r="C25" s="263"/>
      <c r="D25" s="263"/>
      <c r="E25" s="263"/>
      <c r="F25" s="263"/>
      <c r="G25" s="263"/>
      <c r="H25" s="263"/>
      <c r="I25" s="263"/>
      <c r="J25" s="263"/>
      <c r="K25" s="263"/>
      <c r="L25" s="254">
        <f>I58</f>
        <v>294.67679341837186</v>
      </c>
      <c r="M25" s="388">
        <v>16.2</v>
      </c>
      <c r="N25" s="376">
        <f t="shared" si="0"/>
        <v>16200</v>
      </c>
    </row>
    <row r="26" spans="2:15" ht="13.5" thickBot="1" x14ac:dyDescent="0.25">
      <c r="B26" s="265"/>
      <c r="C26" s="63"/>
      <c r="D26" s="63"/>
      <c r="E26" s="63"/>
      <c r="F26" s="63"/>
      <c r="G26" s="63"/>
      <c r="H26" s="63"/>
      <c r="I26" s="63"/>
      <c r="J26" s="63"/>
      <c r="K26" s="63"/>
      <c r="L26" s="238"/>
      <c r="M26" s="266"/>
    </row>
    <row r="27" spans="2:15" ht="13.5" customHeight="1" thickBot="1" x14ac:dyDescent="0.25">
      <c r="C27" s="435" t="s">
        <v>317</v>
      </c>
      <c r="D27" s="419"/>
      <c r="E27" s="419"/>
      <c r="F27" s="419"/>
      <c r="G27" s="419"/>
      <c r="H27" s="419"/>
      <c r="I27" s="419"/>
      <c r="J27" s="419"/>
      <c r="K27" s="420"/>
      <c r="L27" s="441" t="s">
        <v>316</v>
      </c>
      <c r="M27" s="428" t="s">
        <v>451</v>
      </c>
      <c r="N27" s="430" t="s">
        <v>450</v>
      </c>
    </row>
    <row r="28" spans="2:15" ht="13.5" customHeight="1" x14ac:dyDescent="0.2">
      <c r="B28">
        <v>1.121</v>
      </c>
      <c r="C28" s="444">
        <v>2000</v>
      </c>
      <c r="D28" s="445"/>
      <c r="E28" s="446"/>
      <c r="F28" s="444">
        <v>2001</v>
      </c>
      <c r="G28" s="445"/>
      <c r="H28" s="446"/>
      <c r="I28" s="444">
        <v>2002</v>
      </c>
      <c r="J28" s="445"/>
      <c r="K28" s="446"/>
      <c r="L28" s="442"/>
      <c r="M28" s="429"/>
      <c r="N28" s="431"/>
    </row>
    <row r="29" spans="2:15" ht="13.5" thickBot="1" x14ac:dyDescent="0.25">
      <c r="B29" s="97"/>
      <c r="C29" s="188" t="s">
        <v>242</v>
      </c>
      <c r="D29" s="189" t="s">
        <v>243</v>
      </c>
      <c r="E29" s="190" t="s">
        <v>244</v>
      </c>
      <c r="F29" s="188" t="s">
        <v>242</v>
      </c>
      <c r="G29" s="189" t="s">
        <v>243</v>
      </c>
      <c r="H29" s="190" t="s">
        <v>244</v>
      </c>
      <c r="I29" s="188" t="s">
        <v>242</v>
      </c>
      <c r="J29" s="189" t="s">
        <v>243</v>
      </c>
      <c r="K29" s="255" t="s">
        <v>244</v>
      </c>
      <c r="L29" s="443"/>
      <c r="M29" s="429"/>
      <c r="N29" s="432"/>
    </row>
    <row r="30" spans="2:15" ht="13.5" thickBot="1" x14ac:dyDescent="0.25">
      <c r="B30" s="182" t="s">
        <v>249</v>
      </c>
      <c r="C30" s="256"/>
      <c r="D30" s="257"/>
      <c r="E30" s="258"/>
      <c r="F30" s="256"/>
      <c r="G30" s="257"/>
      <c r="H30" s="258"/>
      <c r="I30" s="259"/>
      <c r="J30" s="257"/>
      <c r="K30" s="258"/>
      <c r="L30" s="373"/>
      <c r="M30" s="382">
        <f>N18/B$28/2000</f>
        <v>1.070472792149866</v>
      </c>
      <c r="N30" s="379">
        <f>L30/M30</f>
        <v>0</v>
      </c>
    </row>
    <row r="31" spans="2:15" x14ac:dyDescent="0.2">
      <c r="B31" s="267" t="s">
        <v>236</v>
      </c>
      <c r="C31" s="174">
        <f>C19/$B$28</f>
        <v>7760.9277430865295</v>
      </c>
      <c r="D31" s="175">
        <f t="shared" ref="D31:K31" si="1">D19/$B$28</f>
        <v>2297.0561998215881</v>
      </c>
      <c r="E31" s="175">
        <f t="shared" si="1"/>
        <v>113.29170383586084</v>
      </c>
      <c r="F31" s="175">
        <f t="shared" si="1"/>
        <v>11953.612845673506</v>
      </c>
      <c r="G31" s="175">
        <f t="shared" si="1"/>
        <v>3406.7796610169494</v>
      </c>
      <c r="H31" s="175">
        <f t="shared" si="1"/>
        <v>227.47546833184657</v>
      </c>
      <c r="I31" s="175">
        <f t="shared" si="1"/>
        <v>7671.7216770740415</v>
      </c>
      <c r="J31" s="175">
        <f t="shared" si="1"/>
        <v>3482.6048171275647</v>
      </c>
      <c r="K31" s="269">
        <f t="shared" si="1"/>
        <v>188.22479928635147</v>
      </c>
      <c r="L31" s="374">
        <f>(((C31+F31+I31)/3)/2000)*(C$40+D$40)</f>
        <v>241.91198334820101</v>
      </c>
      <c r="M31" s="383">
        <f t="shared" ref="M31:M37" si="2">N19/B$28/2000</f>
        <v>1.4719000892060661</v>
      </c>
      <c r="N31" s="380">
        <f t="shared" ref="N31:N37" si="3">L31/M31</f>
        <v>164.35353535353534</v>
      </c>
    </row>
    <row r="32" spans="2:15" x14ac:dyDescent="0.2">
      <c r="B32" s="267" t="s">
        <v>237</v>
      </c>
      <c r="C32" s="164">
        <f t="shared" ref="C32:K36" si="4">C20/$B$28</f>
        <v>7760.9277430865295</v>
      </c>
      <c r="D32" s="161">
        <f t="shared" si="4"/>
        <v>2297.0561998215881</v>
      </c>
      <c r="E32" s="161">
        <f t="shared" si="4"/>
        <v>113.29170383586084</v>
      </c>
      <c r="F32" s="161">
        <f t="shared" si="4"/>
        <v>11953.612845673506</v>
      </c>
      <c r="G32" s="161">
        <f t="shared" si="4"/>
        <v>3406.7796610169494</v>
      </c>
      <c r="H32" s="161">
        <f t="shared" si="4"/>
        <v>227.47546833184657</v>
      </c>
      <c r="I32" s="161">
        <f t="shared" si="4"/>
        <v>7671.7216770740415</v>
      </c>
      <c r="J32" s="161">
        <f t="shared" si="4"/>
        <v>3482.6048171275647</v>
      </c>
      <c r="K32" s="177">
        <f t="shared" si="4"/>
        <v>188.22479928635147</v>
      </c>
      <c r="L32" s="374">
        <f t="shared" ref="L32:L35" si="5">(((C32+F32+I32)/3)/2000)*(C$40+D$40)</f>
        <v>241.91198334820101</v>
      </c>
      <c r="M32" s="383">
        <f t="shared" si="2"/>
        <v>6.4228367528991974</v>
      </c>
      <c r="N32" s="380">
        <f t="shared" si="3"/>
        <v>37.664351851851848</v>
      </c>
    </row>
    <row r="33" spans="2:14" x14ac:dyDescent="0.2">
      <c r="B33" s="267" t="s">
        <v>238</v>
      </c>
      <c r="C33" s="164">
        <f t="shared" si="4"/>
        <v>38983.050847457627</v>
      </c>
      <c r="D33" s="161">
        <f t="shared" si="4"/>
        <v>11538.804638715432</v>
      </c>
      <c r="E33" s="161">
        <f t="shared" si="4"/>
        <v>569.13470115967891</v>
      </c>
      <c r="F33" s="161">
        <f t="shared" si="4"/>
        <v>59678.858162355042</v>
      </c>
      <c r="G33" s="161">
        <f t="shared" si="4"/>
        <v>17008.920606601248</v>
      </c>
      <c r="H33" s="161">
        <f t="shared" si="4"/>
        <v>1133.8090990187334</v>
      </c>
      <c r="I33" s="161">
        <f t="shared" si="4"/>
        <v>29348.795718108831</v>
      </c>
      <c r="J33" s="161">
        <f t="shared" si="4"/>
        <v>13324.71008028546</v>
      </c>
      <c r="K33" s="177">
        <f t="shared" si="4"/>
        <v>745.76271186440681</v>
      </c>
      <c r="L33" s="374">
        <f t="shared" si="5"/>
        <v>1130.7612250966397</v>
      </c>
      <c r="M33" s="383">
        <f t="shared" si="2"/>
        <v>5.1739518287243538</v>
      </c>
      <c r="N33" s="380">
        <f t="shared" si="3"/>
        <v>218.54885057471259</v>
      </c>
    </row>
    <row r="34" spans="2:14" x14ac:dyDescent="0.2">
      <c r="B34" s="267" t="s">
        <v>239</v>
      </c>
      <c r="C34" s="164">
        <f t="shared" si="4"/>
        <v>38983.050847457627</v>
      </c>
      <c r="D34" s="161">
        <f t="shared" si="4"/>
        <v>11538.804638715432</v>
      </c>
      <c r="E34" s="161">
        <f t="shared" si="4"/>
        <v>569.13470115967891</v>
      </c>
      <c r="F34" s="161">
        <f t="shared" si="4"/>
        <v>0</v>
      </c>
      <c r="G34" s="161">
        <f t="shared" si="4"/>
        <v>0</v>
      </c>
      <c r="H34" s="161">
        <f t="shared" si="4"/>
        <v>0</v>
      </c>
      <c r="I34" s="161">
        <f t="shared" si="4"/>
        <v>36396.07493309545</v>
      </c>
      <c r="J34" s="161">
        <f t="shared" si="4"/>
        <v>16523.639607493311</v>
      </c>
      <c r="K34" s="177">
        <f t="shared" si="4"/>
        <v>892.0606601248885</v>
      </c>
      <c r="L34" s="374">
        <f t="shared" si="5"/>
        <v>665.84894439488551</v>
      </c>
      <c r="M34" s="383">
        <f t="shared" si="2"/>
        <v>2.0517395182872438</v>
      </c>
      <c r="N34" s="380">
        <f t="shared" si="3"/>
        <v>324.52898550724632</v>
      </c>
    </row>
    <row r="35" spans="2:14" x14ac:dyDescent="0.2">
      <c r="B35" s="267" t="s">
        <v>240</v>
      </c>
      <c r="C35" s="164">
        <f t="shared" si="4"/>
        <v>38983.050847457627</v>
      </c>
      <c r="D35" s="161">
        <f t="shared" si="4"/>
        <v>11538.804638715432</v>
      </c>
      <c r="E35" s="161">
        <f t="shared" si="4"/>
        <v>569.13470115967891</v>
      </c>
      <c r="F35" s="161">
        <f t="shared" si="4"/>
        <v>0</v>
      </c>
      <c r="G35" s="161">
        <f t="shared" si="4"/>
        <v>0</v>
      </c>
      <c r="H35" s="161">
        <f t="shared" si="4"/>
        <v>0</v>
      </c>
      <c r="I35" s="161">
        <f t="shared" si="4"/>
        <v>36396.07493309545</v>
      </c>
      <c r="J35" s="161">
        <f t="shared" si="4"/>
        <v>16523.639607493311</v>
      </c>
      <c r="K35" s="177">
        <f t="shared" si="4"/>
        <v>892.0606601248885</v>
      </c>
      <c r="L35" s="374">
        <f t="shared" si="5"/>
        <v>665.84894439488551</v>
      </c>
      <c r="M35" s="383">
        <f t="shared" si="2"/>
        <v>6.4228367528991974</v>
      </c>
      <c r="N35" s="380">
        <f t="shared" si="3"/>
        <v>103.66898148148148</v>
      </c>
    </row>
    <row r="36" spans="2:14" ht="13.5" thickBot="1" x14ac:dyDescent="0.25">
      <c r="B36" s="268" t="s">
        <v>241</v>
      </c>
      <c r="C36" s="166">
        <f t="shared" si="4"/>
        <v>1917.9304192685104</v>
      </c>
      <c r="D36" s="167">
        <f t="shared" si="4"/>
        <v>922.39072256913471</v>
      </c>
      <c r="E36" s="167">
        <f t="shared" si="4"/>
        <v>92.77430865298841</v>
      </c>
      <c r="F36" s="167">
        <f t="shared" si="4"/>
        <v>4246.2087421944689</v>
      </c>
      <c r="G36" s="167">
        <f t="shared" si="4"/>
        <v>2063.3363068688673</v>
      </c>
      <c r="H36" s="167">
        <f t="shared" si="4"/>
        <v>196.25334522747548</v>
      </c>
      <c r="I36" s="167">
        <f t="shared" si="4"/>
        <v>5156.1106155218558</v>
      </c>
      <c r="J36" s="167">
        <f t="shared" si="4"/>
        <v>2449.5985727029438</v>
      </c>
      <c r="K36" s="270">
        <f t="shared" si="4"/>
        <v>237.28813559322035</v>
      </c>
      <c r="L36" s="377">
        <f>(((C36+F36+I36)/3)/2000)*(C$41+D$41)</f>
        <v>99.995539696699367</v>
      </c>
      <c r="M36" s="383">
        <f t="shared" si="2"/>
        <v>6.4228367528991974</v>
      </c>
      <c r="N36" s="380">
        <f t="shared" si="3"/>
        <v>15.568749999999998</v>
      </c>
    </row>
    <row r="37" spans="2:14" ht="13.5" thickBot="1" x14ac:dyDescent="0.25">
      <c r="B37" s="262" t="s">
        <v>250</v>
      </c>
      <c r="C37" s="263"/>
      <c r="D37" s="263"/>
      <c r="E37" s="263"/>
      <c r="F37" s="263"/>
      <c r="G37" s="263"/>
      <c r="H37" s="263"/>
      <c r="I37" s="263"/>
      <c r="J37" s="263"/>
      <c r="K37" s="263"/>
      <c r="L37" s="378">
        <f>I58</f>
        <v>294.67679341837186</v>
      </c>
      <c r="M37" s="384">
        <f t="shared" si="2"/>
        <v>7.2256913470115967</v>
      </c>
      <c r="N37" s="381">
        <f t="shared" si="3"/>
        <v>40.781813015061097</v>
      </c>
    </row>
    <row r="38" spans="2:14" ht="13.5" thickBot="1" x14ac:dyDescent="0.25">
      <c r="B38" s="435" t="s">
        <v>313</v>
      </c>
      <c r="C38" s="436"/>
      <c r="D38" s="437"/>
    </row>
    <row r="39" spans="2:14" ht="38.25" x14ac:dyDescent="0.2">
      <c r="B39" s="241"/>
      <c r="C39" s="242" t="s">
        <v>263</v>
      </c>
      <c r="D39" s="243" t="s">
        <v>251</v>
      </c>
      <c r="E39" s="144"/>
      <c r="F39" s="186"/>
      <c r="G39" s="144"/>
    </row>
    <row r="40" spans="2:14" x14ac:dyDescent="0.2">
      <c r="B40" s="233" t="s">
        <v>245</v>
      </c>
      <c r="C40" s="232">
        <v>50</v>
      </c>
      <c r="D40" s="234">
        <v>3</v>
      </c>
    </row>
    <row r="41" spans="2:14" x14ac:dyDescent="0.2">
      <c r="B41" s="233" t="s">
        <v>246</v>
      </c>
      <c r="C41" s="232">
        <v>50</v>
      </c>
      <c r="D41" s="234">
        <v>3</v>
      </c>
    </row>
    <row r="42" spans="2:14" ht="13.5" thickBot="1" x14ac:dyDescent="0.25">
      <c r="B42" s="235" t="s">
        <v>247</v>
      </c>
      <c r="C42" s="158"/>
      <c r="D42" s="236">
        <v>2</v>
      </c>
    </row>
    <row r="43" spans="2:14" ht="13.5" thickBot="1" x14ac:dyDescent="0.25">
      <c r="B43" s="237"/>
      <c r="C43" s="238"/>
      <c r="D43" s="238"/>
    </row>
    <row r="44" spans="2:14" ht="13.5" thickBot="1" x14ac:dyDescent="0.25">
      <c r="B44" s="438" t="s">
        <v>314</v>
      </c>
      <c r="C44" s="439"/>
      <c r="D44" s="440"/>
    </row>
    <row r="45" spans="2:14" x14ac:dyDescent="0.2">
      <c r="B45" s="244"/>
      <c r="C45" s="245" t="s">
        <v>253</v>
      </c>
      <c r="D45" s="246" t="s">
        <v>254</v>
      </c>
    </row>
    <row r="46" spans="2:14" x14ac:dyDescent="0.2">
      <c r="B46" s="233" t="s">
        <v>252</v>
      </c>
      <c r="C46" s="136">
        <v>168</v>
      </c>
      <c r="D46" s="165">
        <f>C46/1.121</f>
        <v>149.86619090098128</v>
      </c>
    </row>
    <row r="47" spans="2:14" x14ac:dyDescent="0.2">
      <c r="B47" s="140"/>
      <c r="C47" s="136"/>
      <c r="D47" s="165"/>
    </row>
    <row r="48" spans="2:14" ht="13.5" thickBot="1" x14ac:dyDescent="0.25">
      <c r="B48" s="239"/>
      <c r="C48" s="240"/>
      <c r="D48" s="168"/>
    </row>
    <row r="49" spans="2:12" x14ac:dyDescent="0.2">
      <c r="B49" s="63"/>
      <c r="C49" s="63"/>
      <c r="D49" s="63"/>
    </row>
    <row r="50" spans="2:12" ht="13.5" thickBot="1" x14ac:dyDescent="0.25">
      <c r="B50" s="63"/>
      <c r="C50" s="63"/>
      <c r="D50" s="63"/>
    </row>
    <row r="51" spans="2:12" ht="13.5" thickBot="1" x14ac:dyDescent="0.25">
      <c r="B51" s="438" t="s">
        <v>315</v>
      </c>
      <c r="C51" s="439"/>
      <c r="D51" s="439"/>
      <c r="E51" s="439"/>
      <c r="F51" s="439"/>
      <c r="G51" s="439"/>
      <c r="H51" s="439"/>
      <c r="I51" s="440"/>
    </row>
    <row r="52" spans="2:12" x14ac:dyDescent="0.2">
      <c r="B52" s="244"/>
      <c r="C52" s="251"/>
      <c r="D52" s="251"/>
      <c r="E52" s="251"/>
      <c r="F52" s="433" t="s">
        <v>265</v>
      </c>
      <c r="G52" s="433"/>
      <c r="H52" s="433"/>
      <c r="I52" s="434"/>
    </row>
    <row r="53" spans="2:12" s="97" customFormat="1" ht="38.25" x14ac:dyDescent="0.2">
      <c r="B53" s="100"/>
      <c r="C53" s="102"/>
      <c r="D53" s="137" t="s">
        <v>263</v>
      </c>
      <c r="E53" s="137" t="s">
        <v>264</v>
      </c>
      <c r="F53" s="137" t="s">
        <v>268</v>
      </c>
      <c r="G53" s="137" t="s">
        <v>269</v>
      </c>
      <c r="H53" s="137" t="s">
        <v>266</v>
      </c>
      <c r="I53" s="248" t="s">
        <v>267</v>
      </c>
    </row>
    <row r="54" spans="2:12" x14ac:dyDescent="0.2">
      <c r="B54" s="233" t="s">
        <v>255</v>
      </c>
      <c r="C54" s="231" t="s">
        <v>259</v>
      </c>
      <c r="D54" s="232">
        <v>963.2</v>
      </c>
      <c r="E54" s="232">
        <f>D54/2000</f>
        <v>0.48160000000000003</v>
      </c>
      <c r="F54" s="247">
        <f>D46/0.46</f>
        <v>325.79606717604622</v>
      </c>
      <c r="G54" s="247">
        <f>F54*0.18</f>
        <v>58.643292091688316</v>
      </c>
      <c r="H54" s="247">
        <f>D46-G54</f>
        <v>91.222898809292957</v>
      </c>
      <c r="I54" s="234">
        <f>F54*E54</f>
        <v>156.90338595198386</v>
      </c>
      <c r="J54" s="187"/>
    </row>
    <row r="55" spans="2:12" x14ac:dyDescent="0.2">
      <c r="B55" s="233" t="s">
        <v>256</v>
      </c>
      <c r="C55" s="231" t="s">
        <v>260</v>
      </c>
      <c r="D55" s="232">
        <v>800</v>
      </c>
      <c r="E55" s="232">
        <f t="shared" ref="E55:E57" si="6">D55/2000</f>
        <v>0.4</v>
      </c>
      <c r="F55" s="247"/>
      <c r="G55" s="247"/>
      <c r="H55" s="247"/>
      <c r="I55" s="234">
        <f>F55*E55</f>
        <v>0</v>
      </c>
      <c r="J55" s="187"/>
    </row>
    <row r="56" spans="2:12" x14ac:dyDescent="0.2">
      <c r="B56" s="233" t="s">
        <v>257</v>
      </c>
      <c r="C56" s="231" t="s">
        <v>261</v>
      </c>
      <c r="D56" s="232">
        <v>1027</v>
      </c>
      <c r="E56" s="232">
        <f t="shared" si="6"/>
        <v>0.51349999999999996</v>
      </c>
      <c r="F56" s="247">
        <f>H54/0.34</f>
        <v>268.30264355674399</v>
      </c>
      <c r="G56" s="247">
        <f>F56*0.34</f>
        <v>91.222898809292957</v>
      </c>
      <c r="H56" s="247"/>
      <c r="I56" s="234">
        <f>F56*E56</f>
        <v>137.77340746638802</v>
      </c>
      <c r="J56" s="187"/>
    </row>
    <row r="57" spans="2:12" x14ac:dyDescent="0.2">
      <c r="B57" s="233" t="s">
        <v>258</v>
      </c>
      <c r="C57" s="231" t="s">
        <v>262</v>
      </c>
      <c r="D57" s="232">
        <v>864</v>
      </c>
      <c r="E57" s="232">
        <f t="shared" si="6"/>
        <v>0.432</v>
      </c>
      <c r="F57" s="247"/>
      <c r="G57" s="247"/>
      <c r="H57" s="247"/>
      <c r="I57" s="234"/>
      <c r="J57" s="187"/>
    </row>
    <row r="58" spans="2:12" ht="13.5" thickBot="1" x14ac:dyDescent="0.25">
      <c r="B58" s="239"/>
      <c r="C58" s="240"/>
      <c r="D58" s="240"/>
      <c r="E58" s="240"/>
      <c r="F58" s="249" t="s">
        <v>40</v>
      </c>
      <c r="G58" s="250">
        <f>SUM(G54:G57)</f>
        <v>149.86619090098128</v>
      </c>
      <c r="H58" s="240"/>
      <c r="I58" s="236">
        <f>SUM(I54:I57)</f>
        <v>294.67679341837186</v>
      </c>
      <c r="J58" s="187"/>
    </row>
    <row r="59" spans="2:12" x14ac:dyDescent="0.2">
      <c r="B59" s="63"/>
      <c r="C59" s="63"/>
      <c r="D59" s="63"/>
      <c r="E59" s="63"/>
      <c r="F59" s="456"/>
      <c r="G59" s="457"/>
      <c r="H59" s="63"/>
      <c r="I59" s="238"/>
      <c r="J59" s="187"/>
    </row>
    <row r="60" spans="2:12" ht="13.5" thickBot="1" x14ac:dyDescent="0.25">
      <c r="B60" s="63"/>
      <c r="C60" s="63"/>
      <c r="D60" s="63"/>
      <c r="E60" s="63"/>
      <c r="F60" s="456"/>
      <c r="G60" s="457"/>
      <c r="H60" s="63"/>
      <c r="I60" s="238"/>
      <c r="J60" s="187"/>
    </row>
    <row r="61" spans="2:12" ht="13.5" thickBot="1" x14ac:dyDescent="0.25">
      <c r="C61" s="492" t="s">
        <v>493</v>
      </c>
      <c r="D61" s="493"/>
      <c r="E61" s="493"/>
      <c r="F61" s="493"/>
      <c r="G61" s="493"/>
      <c r="H61" s="493"/>
      <c r="I61" s="493"/>
      <c r="J61" s="493"/>
      <c r="K61" s="493"/>
      <c r="L61" s="494"/>
    </row>
    <row r="62" spans="2:12" x14ac:dyDescent="0.2">
      <c r="C62" s="347"/>
      <c r="D62" s="458" t="s">
        <v>490</v>
      </c>
      <c r="E62" s="445"/>
      <c r="F62" s="445"/>
      <c r="G62" s="458" t="s">
        <v>491</v>
      </c>
      <c r="H62" s="445"/>
      <c r="I62" s="445"/>
      <c r="J62" s="458" t="s">
        <v>492</v>
      </c>
      <c r="K62" s="445"/>
      <c r="L62" s="446"/>
    </row>
    <row r="63" spans="2:12" x14ac:dyDescent="0.2">
      <c r="C63" s="140"/>
      <c r="D63" s="136">
        <v>2000</v>
      </c>
      <c r="E63" s="136">
        <v>2001</v>
      </c>
      <c r="F63" s="136">
        <v>2002</v>
      </c>
      <c r="G63" s="136">
        <v>2000</v>
      </c>
      <c r="H63" s="136">
        <v>2001</v>
      </c>
      <c r="I63" s="136">
        <v>2002</v>
      </c>
      <c r="J63" s="136">
        <v>2000</v>
      </c>
      <c r="K63" s="136">
        <v>2001</v>
      </c>
      <c r="L63" s="165">
        <v>2002</v>
      </c>
    </row>
    <row r="64" spans="2:12" x14ac:dyDescent="0.2">
      <c r="C64" s="140" t="s">
        <v>454</v>
      </c>
      <c r="D64" s="136">
        <v>1.21</v>
      </c>
      <c r="E64" s="136" t="s">
        <v>455</v>
      </c>
      <c r="F64" s="136" t="s">
        <v>456</v>
      </c>
      <c r="G64" s="136">
        <v>0.54400000000000004</v>
      </c>
      <c r="H64" s="136" t="s">
        <v>457</v>
      </c>
      <c r="I64" s="136" t="s">
        <v>458</v>
      </c>
      <c r="J64" s="136">
        <v>0.28999999999999998</v>
      </c>
      <c r="K64" s="136">
        <v>0.28000000000000003</v>
      </c>
      <c r="L64" s="165" t="s">
        <v>459</v>
      </c>
    </row>
    <row r="65" spans="3:16" x14ac:dyDescent="0.2">
      <c r="C65" s="140" t="s">
        <v>236</v>
      </c>
      <c r="D65" s="136">
        <v>1.21</v>
      </c>
      <c r="E65" s="136" t="s">
        <v>460</v>
      </c>
      <c r="F65" s="136" t="s">
        <v>461</v>
      </c>
      <c r="G65" s="136">
        <v>0.54400000000000004</v>
      </c>
      <c r="H65" s="136" t="s">
        <v>462</v>
      </c>
      <c r="I65" s="136" t="s">
        <v>463</v>
      </c>
      <c r="J65" s="136">
        <v>0.31</v>
      </c>
      <c r="K65" s="136">
        <v>0.28000000000000003</v>
      </c>
      <c r="L65" s="165" t="s">
        <v>464</v>
      </c>
    </row>
    <row r="66" spans="3:16" x14ac:dyDescent="0.2">
      <c r="C66" s="140" t="s">
        <v>237</v>
      </c>
      <c r="D66" s="136">
        <v>1.22</v>
      </c>
      <c r="E66" s="136" t="s">
        <v>460</v>
      </c>
      <c r="F66" s="136" t="s">
        <v>465</v>
      </c>
      <c r="G66" s="136">
        <v>0.54</v>
      </c>
      <c r="H66" s="136" t="s">
        <v>466</v>
      </c>
      <c r="I66" s="136" t="s">
        <v>467</v>
      </c>
      <c r="J66" s="136">
        <v>0.3</v>
      </c>
      <c r="K66" s="136">
        <v>0.31</v>
      </c>
      <c r="L66" s="165" t="s">
        <v>464</v>
      </c>
    </row>
    <row r="67" spans="3:16" x14ac:dyDescent="0.2">
      <c r="C67" s="140" t="s">
        <v>238</v>
      </c>
      <c r="D67" s="136">
        <v>1.0900000000000001</v>
      </c>
      <c r="E67" s="136" t="s">
        <v>468</v>
      </c>
      <c r="F67" s="136" t="s">
        <v>469</v>
      </c>
      <c r="G67" s="136">
        <v>0.58899999999999997</v>
      </c>
      <c r="H67" s="136" t="s">
        <v>470</v>
      </c>
      <c r="I67" s="136" t="s">
        <v>471</v>
      </c>
      <c r="J67" s="136">
        <v>0.31</v>
      </c>
      <c r="K67" s="136">
        <v>0.3</v>
      </c>
      <c r="L67" s="165" t="s">
        <v>472</v>
      </c>
    </row>
    <row r="68" spans="3:16" x14ac:dyDescent="0.2">
      <c r="C68" s="140" t="s">
        <v>239</v>
      </c>
      <c r="D68" s="136">
        <v>1.1100000000000001</v>
      </c>
      <c r="E68" s="136" t="s">
        <v>473</v>
      </c>
      <c r="F68" s="136" t="s">
        <v>474</v>
      </c>
      <c r="G68" s="136">
        <v>0.58199999999999996</v>
      </c>
      <c r="H68" s="136" t="s">
        <v>475</v>
      </c>
      <c r="I68" s="136" t="s">
        <v>476</v>
      </c>
      <c r="J68" s="136">
        <v>0.3</v>
      </c>
      <c r="K68" s="136">
        <v>0.28999999999999998</v>
      </c>
      <c r="L68" s="165" t="s">
        <v>477</v>
      </c>
    </row>
    <row r="69" spans="3:16" x14ac:dyDescent="0.2">
      <c r="C69" s="140" t="s">
        <v>240</v>
      </c>
      <c r="D69" s="136">
        <v>1.08</v>
      </c>
      <c r="E69" s="136" t="s">
        <v>478</v>
      </c>
      <c r="F69" s="136" t="s">
        <v>479</v>
      </c>
      <c r="G69" s="136">
        <v>0.59399999999999997</v>
      </c>
      <c r="H69" s="136" t="s">
        <v>480</v>
      </c>
      <c r="I69" s="136" t="s">
        <v>481</v>
      </c>
      <c r="J69" s="136">
        <v>0.3</v>
      </c>
      <c r="K69" s="136">
        <v>0.32</v>
      </c>
      <c r="L69" s="165" t="s">
        <v>482</v>
      </c>
    </row>
    <row r="70" spans="3:16" x14ac:dyDescent="0.2">
      <c r="C70" s="140" t="s">
        <v>241</v>
      </c>
      <c r="D70" s="136">
        <v>1.1000000000000001</v>
      </c>
      <c r="E70" s="136" t="s">
        <v>455</v>
      </c>
      <c r="F70" s="136" t="s">
        <v>461</v>
      </c>
      <c r="G70" s="136">
        <v>0.58499999999999996</v>
      </c>
      <c r="H70" s="136" t="s">
        <v>483</v>
      </c>
      <c r="I70" s="136" t="s">
        <v>484</v>
      </c>
      <c r="J70" s="136">
        <v>0.28999999999999998</v>
      </c>
      <c r="K70" s="136">
        <v>0.28000000000000003</v>
      </c>
      <c r="L70" s="165" t="s">
        <v>464</v>
      </c>
    </row>
    <row r="71" spans="3:16" ht="13.5" thickBot="1" x14ac:dyDescent="0.25">
      <c r="C71" s="239" t="s">
        <v>250</v>
      </c>
      <c r="D71" s="240">
        <v>1.2</v>
      </c>
      <c r="E71" s="240" t="s">
        <v>485</v>
      </c>
      <c r="F71" s="240" t="s">
        <v>486</v>
      </c>
      <c r="G71" s="240">
        <v>0.54700000000000004</v>
      </c>
      <c r="H71" s="240" t="s">
        <v>487</v>
      </c>
      <c r="I71" s="240" t="s">
        <v>488</v>
      </c>
      <c r="J71" s="240">
        <v>0.28999999999999998</v>
      </c>
      <c r="K71" s="240">
        <v>0.26</v>
      </c>
      <c r="L71" s="168" t="s">
        <v>489</v>
      </c>
    </row>
    <row r="72" spans="3:16" x14ac:dyDescent="0.2">
      <c r="C72" s="63"/>
      <c r="D72" s="63"/>
      <c r="E72" s="63"/>
      <c r="F72" s="63"/>
      <c r="G72" s="63"/>
      <c r="H72" s="63"/>
      <c r="I72" s="63"/>
      <c r="J72" s="63"/>
      <c r="K72" s="63"/>
      <c r="L72" s="63"/>
    </row>
    <row r="73" spans="3:16" ht="13.5" thickBot="1" x14ac:dyDescent="0.25">
      <c r="C73" s="63"/>
      <c r="D73" s="63"/>
      <c r="E73" s="63"/>
      <c r="F73" s="63"/>
      <c r="G73" s="63"/>
      <c r="H73" s="63"/>
      <c r="I73" s="63"/>
      <c r="J73" s="63"/>
      <c r="K73" s="63"/>
      <c r="L73" s="63"/>
    </row>
    <row r="74" spans="3:16" ht="13.5" thickBot="1" x14ac:dyDescent="0.25">
      <c r="E74" s="492" t="s">
        <v>498</v>
      </c>
      <c r="F74" s="493"/>
      <c r="G74" s="493"/>
      <c r="H74" s="493"/>
      <c r="I74" s="493"/>
      <c r="J74" s="493"/>
      <c r="K74" s="493"/>
      <c r="L74" s="493"/>
      <c r="M74" s="493"/>
      <c r="N74" s="493"/>
      <c r="O74" s="493"/>
      <c r="P74" s="494"/>
    </row>
    <row r="75" spans="3:16" ht="12.75" customHeight="1" x14ac:dyDescent="0.2">
      <c r="E75" s="460" t="s">
        <v>494</v>
      </c>
      <c r="F75" s="461" t="s">
        <v>490</v>
      </c>
      <c r="G75" s="485" t="s">
        <v>497</v>
      </c>
      <c r="H75" s="460" t="s">
        <v>494</v>
      </c>
      <c r="I75" s="461" t="s">
        <v>491</v>
      </c>
      <c r="J75" s="485" t="s">
        <v>497</v>
      </c>
      <c r="K75" s="460" t="s">
        <v>494</v>
      </c>
      <c r="L75" s="461" t="s">
        <v>492</v>
      </c>
      <c r="M75" s="481" t="s">
        <v>497</v>
      </c>
      <c r="N75" s="489" t="s">
        <v>450</v>
      </c>
      <c r="O75" s="475" t="s">
        <v>316</v>
      </c>
      <c r="P75" s="476" t="s">
        <v>451</v>
      </c>
    </row>
    <row r="76" spans="3:16" ht="12.75" customHeight="1" x14ac:dyDescent="0.2">
      <c r="E76" s="462"/>
      <c r="F76" s="459"/>
      <c r="G76" s="486"/>
      <c r="H76" s="462"/>
      <c r="I76" s="459"/>
      <c r="J76" s="486"/>
      <c r="K76" s="462"/>
      <c r="L76" s="459"/>
      <c r="M76" s="482"/>
      <c r="N76" s="490"/>
      <c r="O76" s="477"/>
      <c r="P76" s="463"/>
    </row>
    <row r="77" spans="3:16" ht="13.5" thickBot="1" x14ac:dyDescent="0.25">
      <c r="E77" s="462"/>
      <c r="F77" s="459"/>
      <c r="G77" s="486"/>
      <c r="H77" s="462"/>
      <c r="I77" s="459"/>
      <c r="J77" s="486"/>
      <c r="K77" s="462"/>
      <c r="L77" s="459"/>
      <c r="M77" s="482"/>
      <c r="N77" s="490"/>
      <c r="O77" s="477"/>
      <c r="P77" s="463"/>
    </row>
    <row r="78" spans="3:16" x14ac:dyDescent="0.2">
      <c r="D78" s="478" t="s">
        <v>454</v>
      </c>
      <c r="E78" s="464">
        <f>F78/F$78</f>
        <v>1</v>
      </c>
      <c r="F78" s="136">
        <v>1.42</v>
      </c>
      <c r="G78" s="487"/>
      <c r="H78" s="464">
        <f>I78/I$78</f>
        <v>1</v>
      </c>
      <c r="I78" s="136">
        <v>0.46300000000000002</v>
      </c>
      <c r="J78" s="487"/>
      <c r="K78" s="464">
        <f>L78/L$78</f>
        <v>1</v>
      </c>
      <c r="L78" s="136">
        <v>0.28000000000000003</v>
      </c>
      <c r="M78" s="483"/>
      <c r="N78" s="374">
        <v>0</v>
      </c>
      <c r="O78" s="140">
        <v>0</v>
      </c>
      <c r="P78" s="358">
        <v>1.070472792149866</v>
      </c>
    </row>
    <row r="79" spans="3:16" x14ac:dyDescent="0.2">
      <c r="D79" s="479" t="s">
        <v>236</v>
      </c>
      <c r="E79" s="464">
        <f>F79/F$78</f>
        <v>0.85915492957746487</v>
      </c>
      <c r="F79" s="136">
        <v>1.22</v>
      </c>
      <c r="G79" s="487"/>
      <c r="H79" s="464">
        <f>I79/I$78</f>
        <v>1.16414686825054</v>
      </c>
      <c r="I79" s="136">
        <v>0.53900000000000003</v>
      </c>
      <c r="J79" s="487"/>
      <c r="K79" s="464">
        <f>L79/L$78</f>
        <v>1.107142857142857</v>
      </c>
      <c r="L79" s="136">
        <v>0.31</v>
      </c>
      <c r="M79" s="483"/>
      <c r="N79" s="374">
        <v>164.35353535353534</v>
      </c>
      <c r="O79" s="264">
        <v>241.91198334820101</v>
      </c>
      <c r="P79" s="358">
        <v>1.4719000892060661</v>
      </c>
    </row>
    <row r="80" spans="3:16" x14ac:dyDescent="0.2">
      <c r="D80" s="479" t="s">
        <v>237</v>
      </c>
      <c r="E80" s="464">
        <f>F80/F$78</f>
        <v>0.81690140845070425</v>
      </c>
      <c r="F80" s="136">
        <v>1.1599999999999999</v>
      </c>
      <c r="G80" s="487"/>
      <c r="H80" s="464">
        <f>I80/I$78</f>
        <v>1.2159827213822891</v>
      </c>
      <c r="I80" s="136">
        <v>0.56299999999999994</v>
      </c>
      <c r="J80" s="487"/>
      <c r="K80" s="464">
        <f>L80/L$78</f>
        <v>1.107142857142857</v>
      </c>
      <c r="L80" s="136">
        <v>0.31</v>
      </c>
      <c r="M80" s="483"/>
      <c r="N80" s="374">
        <v>37.664351851851848</v>
      </c>
      <c r="O80" s="264">
        <v>241.91198334820101</v>
      </c>
      <c r="P80" s="358">
        <v>6.4228367528991974</v>
      </c>
    </row>
    <row r="81" spans="3:16" x14ac:dyDescent="0.2">
      <c r="D81" s="479" t="s">
        <v>238</v>
      </c>
      <c r="E81" s="464">
        <f>F81/F$78</f>
        <v>0.78169014084507049</v>
      </c>
      <c r="F81" s="136">
        <v>1.1100000000000001</v>
      </c>
      <c r="G81" s="487">
        <v>3</v>
      </c>
      <c r="H81" s="464">
        <f>I81/I$78</f>
        <v>1.2548596112311015</v>
      </c>
      <c r="I81" s="136">
        <v>0.58099999999999996</v>
      </c>
      <c r="J81" s="487">
        <v>3</v>
      </c>
      <c r="K81" s="464">
        <f>L81/L$78</f>
        <v>1.4285714285714286</v>
      </c>
      <c r="L81" s="136">
        <v>0.4</v>
      </c>
      <c r="M81" s="483">
        <v>1</v>
      </c>
      <c r="N81" s="374">
        <v>218.54885057471259</v>
      </c>
      <c r="O81" s="264">
        <v>1130.7612250966397</v>
      </c>
      <c r="P81" s="358">
        <v>5.1739518287243538</v>
      </c>
    </row>
    <row r="82" spans="3:16" x14ac:dyDescent="0.2">
      <c r="D82" s="479" t="s">
        <v>239</v>
      </c>
      <c r="E82" s="464">
        <f>F82/F$78</f>
        <v>0.75352112676056349</v>
      </c>
      <c r="F82" s="136">
        <v>1.07</v>
      </c>
      <c r="G82" s="487">
        <v>2</v>
      </c>
      <c r="H82" s="464">
        <f>I82/I$78</f>
        <v>1.2915766738660905</v>
      </c>
      <c r="I82" s="136">
        <v>0.59799999999999998</v>
      </c>
      <c r="J82" s="487">
        <v>2</v>
      </c>
      <c r="K82" s="464">
        <f>L82/L$78</f>
        <v>1.2857142857142856</v>
      </c>
      <c r="L82" s="136">
        <v>0.36</v>
      </c>
      <c r="M82" s="483">
        <v>3</v>
      </c>
      <c r="N82" s="374">
        <v>324.52898550724632</v>
      </c>
      <c r="O82" s="264">
        <v>665.84894439488551</v>
      </c>
      <c r="P82" s="358">
        <v>2.0517395182872438</v>
      </c>
    </row>
    <row r="83" spans="3:16" x14ac:dyDescent="0.2">
      <c r="D83" s="479" t="s">
        <v>240</v>
      </c>
      <c r="E83" s="464">
        <f>F83/F$78</f>
        <v>0.73943661971830987</v>
      </c>
      <c r="F83" s="136">
        <v>1.05</v>
      </c>
      <c r="G83" s="487">
        <v>1</v>
      </c>
      <c r="H83" s="464">
        <f>I83/I$78</f>
        <v>1.3066954643628508</v>
      </c>
      <c r="I83" s="136">
        <v>0.60499999999999998</v>
      </c>
      <c r="J83" s="487">
        <v>1</v>
      </c>
      <c r="K83" s="464">
        <f>L83/L$78</f>
        <v>1.357142857142857</v>
      </c>
      <c r="L83" s="136">
        <v>0.38</v>
      </c>
      <c r="M83" s="483">
        <v>2</v>
      </c>
      <c r="N83" s="374">
        <v>103.66898148148148</v>
      </c>
      <c r="O83" s="264">
        <v>665.84894439488551</v>
      </c>
      <c r="P83" s="358">
        <v>6.4228367528991974</v>
      </c>
    </row>
    <row r="84" spans="3:16" x14ac:dyDescent="0.2">
      <c r="D84" s="479" t="s">
        <v>241</v>
      </c>
      <c r="E84" s="464">
        <f>F84/F$78</f>
        <v>0.85915492957746487</v>
      </c>
      <c r="F84" s="136">
        <v>1.22</v>
      </c>
      <c r="G84" s="487"/>
      <c r="H84" s="464">
        <f>I84/I$78</f>
        <v>1.161987041036717</v>
      </c>
      <c r="I84" s="136">
        <v>0.53800000000000003</v>
      </c>
      <c r="J84" s="487"/>
      <c r="K84" s="464">
        <f>L84/L$78</f>
        <v>1.107142857142857</v>
      </c>
      <c r="L84" s="136">
        <v>0.31</v>
      </c>
      <c r="M84" s="483"/>
      <c r="N84" s="374">
        <v>15.568749999999998</v>
      </c>
      <c r="O84" s="264">
        <v>99.995539696699367</v>
      </c>
      <c r="P84" s="358">
        <v>6.4228367528991974</v>
      </c>
    </row>
    <row r="85" spans="3:16" ht="13.5" thickBot="1" x14ac:dyDescent="0.25">
      <c r="D85" s="480" t="s">
        <v>250</v>
      </c>
      <c r="E85" s="465">
        <f>F85/F$78</f>
        <v>0.88732394366197187</v>
      </c>
      <c r="F85" s="240">
        <v>1.26</v>
      </c>
      <c r="G85" s="488"/>
      <c r="H85" s="465">
        <f>I85/I$78</f>
        <v>1.1339092872570193</v>
      </c>
      <c r="I85" s="240">
        <v>0.52500000000000002</v>
      </c>
      <c r="J85" s="488"/>
      <c r="K85" s="465">
        <f>L85/L$78</f>
        <v>1.1428571428571428</v>
      </c>
      <c r="L85" s="240">
        <v>0.32</v>
      </c>
      <c r="M85" s="484"/>
      <c r="N85" s="491">
        <v>40.781813015061097</v>
      </c>
      <c r="O85" s="254">
        <v>294.67679341837186</v>
      </c>
      <c r="P85" s="471">
        <v>7.2256913470115967</v>
      </c>
    </row>
    <row r="87" spans="3:16" ht="13.5" thickBot="1" x14ac:dyDescent="0.25"/>
    <row r="88" spans="3:16" ht="13.5" thickBot="1" x14ac:dyDescent="0.25">
      <c r="C88" s="492" t="s">
        <v>496</v>
      </c>
      <c r="D88" s="493"/>
      <c r="E88" s="493"/>
      <c r="F88" s="493"/>
      <c r="G88" s="493"/>
      <c r="H88" s="493"/>
      <c r="I88" s="493"/>
      <c r="J88" s="493"/>
      <c r="K88" s="494"/>
    </row>
    <row r="89" spans="3:16" ht="13.5" thickBot="1" x14ac:dyDescent="0.25">
      <c r="C89" s="473" t="s">
        <v>497</v>
      </c>
      <c r="D89" s="436" t="s">
        <v>490</v>
      </c>
      <c r="E89" s="420"/>
      <c r="F89" s="473" t="s">
        <v>497</v>
      </c>
      <c r="G89" s="435" t="s">
        <v>491</v>
      </c>
      <c r="H89" s="420"/>
      <c r="I89" s="473" t="s">
        <v>497</v>
      </c>
      <c r="J89" s="435" t="s">
        <v>495</v>
      </c>
      <c r="K89" s="420"/>
    </row>
    <row r="90" spans="3:16" x14ac:dyDescent="0.2">
      <c r="C90" s="353"/>
      <c r="D90" s="466" t="s">
        <v>236</v>
      </c>
      <c r="E90" s="470">
        <f>((E$78-E79)*100)/$N79</f>
        <v>8.5696404473179152E-2</v>
      </c>
      <c r="F90" s="353"/>
      <c r="G90" s="474" t="s">
        <v>236</v>
      </c>
      <c r="H90" s="361">
        <f>-((H$78-H79)*100)/$N79</f>
        <v>9.9874254543687951E-2</v>
      </c>
      <c r="I90" s="353"/>
      <c r="J90" s="474" t="s">
        <v>236</v>
      </c>
      <c r="K90" s="361">
        <f>-((K$78-K79)*100)/$N79</f>
        <v>6.5190479117096925E-2</v>
      </c>
    </row>
    <row r="91" spans="3:16" x14ac:dyDescent="0.2">
      <c r="C91" s="356">
        <v>2</v>
      </c>
      <c r="D91" s="467" t="s">
        <v>237</v>
      </c>
      <c r="E91" s="358">
        <f>((E$78-E80)*100)/$N80</f>
        <v>0.48613233082967106</v>
      </c>
      <c r="F91" s="356">
        <v>2</v>
      </c>
      <c r="G91" s="467" t="s">
        <v>237</v>
      </c>
      <c r="H91" s="358">
        <f>-((H$78-H80)*100)/$N80</f>
        <v>0.57344069594461877</v>
      </c>
      <c r="I91" s="356">
        <v>4</v>
      </c>
      <c r="J91" s="467" t="s">
        <v>237</v>
      </c>
      <c r="K91" s="358">
        <f>-((K$78-K80)*100)/$N80</f>
        <v>0.28446754523824114</v>
      </c>
    </row>
    <row r="92" spans="3:16" x14ac:dyDescent="0.2">
      <c r="C92" s="356"/>
      <c r="D92" s="467" t="s">
        <v>238</v>
      </c>
      <c r="E92" s="358">
        <f>((E$78-E81)*100)/$N81</f>
        <v>9.9890646224331719E-2</v>
      </c>
      <c r="F92" s="356"/>
      <c r="G92" s="467" t="s">
        <v>238</v>
      </c>
      <c r="H92" s="358">
        <f>-((H$78-H81)*100)/$N81</f>
        <v>0.11661448255660158</v>
      </c>
      <c r="I92" s="356"/>
      <c r="J92" s="467" t="s">
        <v>238</v>
      </c>
      <c r="K92" s="358">
        <f>-((K$78-K81)*100)/$N81</f>
        <v>0.19609868797956373</v>
      </c>
    </row>
    <row r="93" spans="3:16" x14ac:dyDescent="0.2">
      <c r="C93" s="356"/>
      <c r="D93" s="467" t="s">
        <v>239</v>
      </c>
      <c r="E93" s="358">
        <f>((E$78-E82)*100)/$N82</f>
        <v>7.5949725370195925E-2</v>
      </c>
      <c r="F93" s="356"/>
      <c r="G93" s="467" t="s">
        <v>239</v>
      </c>
      <c r="H93" s="358">
        <f>-((H$78-H82)*100)/$N82</f>
        <v>8.9846111406766779E-2</v>
      </c>
      <c r="I93" s="356"/>
      <c r="J93" s="467" t="s">
        <v>239</v>
      </c>
      <c r="K93" s="358">
        <f>-((K$78-K82)*100)/$N82</f>
        <v>8.8039681653614865E-2</v>
      </c>
    </row>
    <row r="94" spans="3:16" x14ac:dyDescent="0.2">
      <c r="C94" s="356">
        <v>4</v>
      </c>
      <c r="D94" s="467" t="s">
        <v>240</v>
      </c>
      <c r="E94" s="358">
        <f>((E$78-E83)*100)/$N83</f>
        <v>0.25134169985863603</v>
      </c>
      <c r="F94" s="356">
        <v>4</v>
      </c>
      <c r="G94" s="467" t="s">
        <v>240</v>
      </c>
      <c r="H94" s="358">
        <f>-((H$78-H83)*100)/$N83</f>
        <v>0.29584110886402037</v>
      </c>
      <c r="I94" s="356">
        <v>3</v>
      </c>
      <c r="J94" s="467" t="s">
        <v>240</v>
      </c>
      <c r="K94" s="358">
        <f>-((K$78-K83)*100)/$N83</f>
        <v>0.34450310212284074</v>
      </c>
    </row>
    <row r="95" spans="3:16" x14ac:dyDescent="0.2">
      <c r="C95" s="356">
        <v>1</v>
      </c>
      <c r="D95" s="467" t="s">
        <v>241</v>
      </c>
      <c r="E95" s="358">
        <f>((E$78-E84)*100)/$N84</f>
        <v>0.90466524558834294</v>
      </c>
      <c r="F95" s="356">
        <v>1</v>
      </c>
      <c r="G95" s="467" t="s">
        <v>241</v>
      </c>
      <c r="H95" s="358">
        <f>-((H$78-H84)*100)/$N84</f>
        <v>1.0404627284574359</v>
      </c>
      <c r="I95" s="356">
        <v>1</v>
      </c>
      <c r="J95" s="467" t="s">
        <v>241</v>
      </c>
      <c r="K95" s="358">
        <f>-((K$78-K84)*100)/$N84</f>
        <v>0.68819177610827453</v>
      </c>
    </row>
    <row r="96" spans="3:16" ht="13.5" thickBot="1" x14ac:dyDescent="0.25">
      <c r="C96" s="472">
        <v>3</v>
      </c>
      <c r="D96" s="468" t="s">
        <v>250</v>
      </c>
      <c r="E96" s="471">
        <f>((E$78-E85)*100)/$N85</f>
        <v>0.27628996360808145</v>
      </c>
      <c r="F96" s="472">
        <v>3</v>
      </c>
      <c r="G96" s="468" t="s">
        <v>250</v>
      </c>
      <c r="H96" s="471">
        <f>-((H$78-H85)*100)/$N85</f>
        <v>0.32835540491435583</v>
      </c>
      <c r="I96" s="472">
        <v>2</v>
      </c>
      <c r="J96" s="468" t="s">
        <v>250</v>
      </c>
      <c r="K96" s="471">
        <f>-((K$78-K85)*100)/$N85</f>
        <v>0.35029620386024607</v>
      </c>
    </row>
    <row r="97" spans="5:5" x14ac:dyDescent="0.2">
      <c r="E97" s="469"/>
    </row>
    <row r="98" spans="5:5" x14ac:dyDescent="0.2">
      <c r="E98" s="469"/>
    </row>
  </sheetData>
  <mergeCells count="39">
    <mergeCell ref="E74:P74"/>
    <mergeCell ref="L75:L77"/>
    <mergeCell ref="O75:O77"/>
    <mergeCell ref="P75:P77"/>
    <mergeCell ref="N75:N77"/>
    <mergeCell ref="D89:E89"/>
    <mergeCell ref="G89:H89"/>
    <mergeCell ref="J89:K89"/>
    <mergeCell ref="C88:K88"/>
    <mergeCell ref="G75:G77"/>
    <mergeCell ref="J75:J77"/>
    <mergeCell ref="M75:M77"/>
    <mergeCell ref="E75:E77"/>
    <mergeCell ref="F75:F77"/>
    <mergeCell ref="H75:H77"/>
    <mergeCell ref="I75:I77"/>
    <mergeCell ref="K75:K77"/>
    <mergeCell ref="D62:F62"/>
    <mergeCell ref="G62:I62"/>
    <mergeCell ref="J62:L62"/>
    <mergeCell ref="C61:L61"/>
    <mergeCell ref="B38:D38"/>
    <mergeCell ref="B44:D44"/>
    <mergeCell ref="B51:I51"/>
    <mergeCell ref="L15:L17"/>
    <mergeCell ref="C27:K27"/>
    <mergeCell ref="L27:L29"/>
    <mergeCell ref="C28:E28"/>
    <mergeCell ref="F28:H28"/>
    <mergeCell ref="I28:K28"/>
    <mergeCell ref="C16:E16"/>
    <mergeCell ref="F16:H16"/>
    <mergeCell ref="I16:K16"/>
    <mergeCell ref="C15:K15"/>
    <mergeCell ref="M27:M29"/>
    <mergeCell ref="N27:N29"/>
    <mergeCell ref="M15:M17"/>
    <mergeCell ref="N15:N17"/>
    <mergeCell ref="F52:I52"/>
  </mergeCells>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8FEC3-B975-4E07-B9E1-6F20D4BE3CE2}">
  <dimension ref="A3:AA40"/>
  <sheetViews>
    <sheetView workbookViewId="0">
      <selection activeCell="E32" sqref="E32"/>
    </sheetView>
  </sheetViews>
  <sheetFormatPr defaultRowHeight="15" x14ac:dyDescent="0.25"/>
  <cols>
    <col min="1" max="1" width="25.28515625" style="194" customWidth="1"/>
    <col min="2" max="2" width="10" style="194" customWidth="1"/>
    <col min="3" max="3" width="9.140625" style="194"/>
    <col min="4" max="5" width="11.42578125" style="194" customWidth="1"/>
    <col min="6" max="26" width="9.140625" style="194"/>
    <col min="27" max="27" width="9.85546875" style="194" bestFit="1" customWidth="1"/>
    <col min="28" max="16384" width="9.140625" style="194"/>
  </cols>
  <sheetData>
    <row r="3" spans="1:27" ht="15.75" thickBot="1" x14ac:dyDescent="0.3"/>
    <row r="4" spans="1:27" ht="15.75" thickBot="1" x14ac:dyDescent="0.3">
      <c r="C4" s="447" t="s">
        <v>274</v>
      </c>
      <c r="D4" s="448"/>
      <c r="E4" s="448"/>
      <c r="F4" s="448"/>
      <c r="G4" s="448"/>
      <c r="H4" s="448"/>
      <c r="I4" s="448"/>
      <c r="J4" s="448"/>
      <c r="K4" s="448"/>
      <c r="L4" s="448"/>
      <c r="M4" s="448"/>
      <c r="N4" s="448"/>
      <c r="O4" s="448"/>
      <c r="P4" s="448"/>
      <c r="Q4" s="448"/>
      <c r="R4" s="448"/>
      <c r="S4" s="448"/>
      <c r="T4" s="448"/>
      <c r="U4" s="448"/>
      <c r="V4" s="448"/>
      <c r="W4" s="448"/>
      <c r="X4" s="448"/>
      <c r="Y4" s="448"/>
      <c r="Z4" s="448"/>
      <c r="AA4" s="449"/>
    </row>
    <row r="5" spans="1:27" ht="60.75" thickBot="1" x14ac:dyDescent="0.3">
      <c r="B5" s="194" t="s">
        <v>197</v>
      </c>
      <c r="C5" s="195" t="s">
        <v>275</v>
      </c>
      <c r="D5" s="196" t="s">
        <v>276</v>
      </c>
      <c r="E5" s="196" t="s">
        <v>277</v>
      </c>
      <c r="F5" s="196" t="s">
        <v>278</v>
      </c>
      <c r="G5" s="196" t="s">
        <v>279</v>
      </c>
      <c r="H5" s="196" t="s">
        <v>280</v>
      </c>
      <c r="I5" s="196" t="s">
        <v>281</v>
      </c>
      <c r="J5" s="196" t="s">
        <v>282</v>
      </c>
      <c r="K5" s="196" t="s">
        <v>283</v>
      </c>
      <c r="L5" s="196" t="s">
        <v>284</v>
      </c>
      <c r="M5" s="196" t="s">
        <v>285</v>
      </c>
      <c r="N5" s="196" t="s">
        <v>286</v>
      </c>
      <c r="O5" s="196" t="s">
        <v>287</v>
      </c>
      <c r="P5" s="196" t="s">
        <v>288</v>
      </c>
      <c r="Q5" s="196" t="s">
        <v>289</v>
      </c>
      <c r="R5" s="196" t="s">
        <v>290</v>
      </c>
      <c r="S5" s="196"/>
      <c r="T5" s="196" t="s">
        <v>297</v>
      </c>
      <c r="U5" s="196" t="s">
        <v>298</v>
      </c>
      <c r="V5" s="196" t="s">
        <v>291</v>
      </c>
      <c r="W5" s="196" t="s">
        <v>292</v>
      </c>
      <c r="X5" s="196" t="s">
        <v>293</v>
      </c>
      <c r="Y5" s="196" t="s">
        <v>294</v>
      </c>
      <c r="Z5" s="196" t="s">
        <v>295</v>
      </c>
      <c r="AA5" s="197" t="s">
        <v>296</v>
      </c>
    </row>
    <row r="6" spans="1:27" x14ac:dyDescent="0.25">
      <c r="A6" s="194" t="s">
        <v>300</v>
      </c>
      <c r="B6" s="194">
        <v>1</v>
      </c>
      <c r="C6" s="198" t="s">
        <v>195</v>
      </c>
      <c r="D6" s="198">
        <v>1</v>
      </c>
      <c r="E6" s="198"/>
      <c r="F6" s="199">
        <f t="shared" ref="F6:F20" si="0">IF((AND(D6="", E6="")), "", (D6+E6)*B$24)</f>
        <v>20</v>
      </c>
      <c r="G6" s="198"/>
      <c r="H6" s="198"/>
      <c r="I6" s="199" t="str">
        <f>IF((AND(G6="", H6="")), "", (G6+H6)*$B$29)</f>
        <v/>
      </c>
      <c r="J6" s="198"/>
      <c r="K6" s="198"/>
      <c r="L6" s="199" t="str">
        <f>IF((AND(J6="", K6="")), "", (J6+K6)*$B$30)</f>
        <v/>
      </c>
      <c r="M6" s="198"/>
      <c r="N6" s="198"/>
      <c r="O6" s="199" t="str">
        <f>IF((AND(M6="", N6="")), "", (M6+N6)*$B$25)</f>
        <v/>
      </c>
      <c r="P6" s="198">
        <v>1</v>
      </c>
      <c r="Q6" s="198"/>
      <c r="R6" s="199">
        <f>IF((AND(P6="", Q6="")), "", (P6+Q6)*$B$26)</f>
        <v>16</v>
      </c>
      <c r="S6" s="198"/>
      <c r="T6" s="198"/>
      <c r="U6" s="199" t="str">
        <f>IF((AND(S6="", T6="")), "", (S6+T6)*$B$29)</f>
        <v/>
      </c>
      <c r="V6" s="198"/>
      <c r="W6" s="199" t="str">
        <f>IF(V6="", "",V6*$B$28)</f>
        <v/>
      </c>
      <c r="X6" s="200"/>
      <c r="Y6" s="200"/>
      <c r="Z6" s="199">
        <f>IF(C6="Yes", SUM(F6, I6, L6,O6,R6,U6,W6,Y6), "")</f>
        <v>36</v>
      </c>
      <c r="AA6" s="199">
        <f t="shared" ref="AA6:AA20" si="1">IF(C6="Yes", Z6*B6, "")</f>
        <v>36</v>
      </c>
    </row>
    <row r="7" spans="1:27" x14ac:dyDescent="0.25">
      <c r="A7" s="194" t="s">
        <v>301</v>
      </c>
      <c r="B7" s="194">
        <v>1</v>
      </c>
      <c r="C7" s="198" t="s">
        <v>195</v>
      </c>
      <c r="D7" s="198"/>
      <c r="E7" s="198"/>
      <c r="F7" s="199" t="str">
        <f t="shared" si="0"/>
        <v/>
      </c>
      <c r="G7" s="198"/>
      <c r="H7" s="198"/>
      <c r="I7" s="199" t="str">
        <f t="shared" ref="I7:I20" si="2">IF((AND(G7="", H7="")), "", (G7+H7)*$B$29)</f>
        <v/>
      </c>
      <c r="J7" s="198"/>
      <c r="K7" s="198"/>
      <c r="L7" s="199" t="str">
        <f t="shared" ref="L7:L20" si="3">IF((AND(J7="", K7="")), "", (J7+K7)*$B$30)</f>
        <v/>
      </c>
      <c r="M7" s="198"/>
      <c r="N7" s="198"/>
      <c r="O7" s="199" t="str">
        <f t="shared" ref="O7:O20" si="4">IF((AND(M7="", N7="")), "", (M7+N7)*$B$25)</f>
        <v/>
      </c>
      <c r="P7" s="198"/>
      <c r="Q7" s="198"/>
      <c r="R7" s="199" t="str">
        <f t="shared" ref="R7:R20" si="5">IF((AND(P7="", Q7="")), "", (P7+Q7)*$B$26)</f>
        <v/>
      </c>
      <c r="S7" s="198"/>
      <c r="T7" s="198">
        <v>1</v>
      </c>
      <c r="U7" s="199">
        <f t="shared" ref="U7:U20" si="6">IF((AND(S7="", T7="")), "", (S7+T7)*$B$29)</f>
        <v>16</v>
      </c>
      <c r="V7" s="198"/>
      <c r="W7" s="199" t="str">
        <f t="shared" ref="W7:W20" si="7">IF(V7="", "",V7*$B$28)</f>
        <v/>
      </c>
      <c r="X7" s="200">
        <v>2</v>
      </c>
      <c r="Y7" s="200">
        <v>2</v>
      </c>
      <c r="Z7" s="199">
        <f>IF(C7="Yes", SUM(F7, I7, L7,O7,R7,U7,W7,Y7), "")</f>
        <v>18</v>
      </c>
      <c r="AA7" s="199">
        <f t="shared" si="1"/>
        <v>18</v>
      </c>
    </row>
    <row r="8" spans="1:27" x14ac:dyDescent="0.25">
      <c r="A8" s="194" t="s">
        <v>302</v>
      </c>
      <c r="B8" s="194">
        <v>1</v>
      </c>
      <c r="C8" s="198" t="s">
        <v>195</v>
      </c>
      <c r="D8" s="198"/>
      <c r="E8" s="198"/>
      <c r="F8" s="199" t="str">
        <f t="shared" si="0"/>
        <v/>
      </c>
      <c r="G8" s="198"/>
      <c r="H8" s="198"/>
      <c r="I8" s="199" t="str">
        <f t="shared" si="2"/>
        <v/>
      </c>
      <c r="J8" s="198"/>
      <c r="K8" s="198"/>
      <c r="L8" s="199" t="str">
        <f t="shared" si="3"/>
        <v/>
      </c>
      <c r="M8" s="198"/>
      <c r="N8" s="198"/>
      <c r="O8" s="199" t="str">
        <f t="shared" si="4"/>
        <v/>
      </c>
      <c r="P8" s="198"/>
      <c r="Q8" s="198"/>
      <c r="R8" s="199" t="str">
        <f t="shared" si="5"/>
        <v/>
      </c>
      <c r="S8" s="198"/>
      <c r="T8" s="198"/>
      <c r="U8" s="199" t="str">
        <f t="shared" si="6"/>
        <v/>
      </c>
      <c r="V8" s="198"/>
      <c r="W8" s="199" t="str">
        <f t="shared" si="7"/>
        <v/>
      </c>
      <c r="X8" s="200">
        <v>2</v>
      </c>
      <c r="Y8" s="200">
        <v>2</v>
      </c>
      <c r="Z8" s="199">
        <f t="shared" ref="Z8:Z20" si="8">IF(C8="Yes", SUM(F8, I8, L8,O8,R8,U8,W8,Y8), "")</f>
        <v>2</v>
      </c>
      <c r="AA8" s="199">
        <f t="shared" si="1"/>
        <v>2</v>
      </c>
    </row>
    <row r="9" spans="1:27" x14ac:dyDescent="0.25">
      <c r="C9" s="198"/>
      <c r="D9" s="198"/>
      <c r="E9" s="198"/>
      <c r="F9" s="199" t="str">
        <f t="shared" si="0"/>
        <v/>
      </c>
      <c r="G9" s="198"/>
      <c r="H9" s="198"/>
      <c r="I9" s="199" t="str">
        <f t="shared" si="2"/>
        <v/>
      </c>
      <c r="J9" s="198"/>
      <c r="K9" s="198"/>
      <c r="L9" s="199" t="str">
        <f t="shared" si="3"/>
        <v/>
      </c>
      <c r="M9" s="198"/>
      <c r="N9" s="198"/>
      <c r="O9" s="199" t="str">
        <f t="shared" si="4"/>
        <v/>
      </c>
      <c r="P9" s="198"/>
      <c r="Q9" s="198"/>
      <c r="R9" s="199" t="str">
        <f t="shared" si="5"/>
        <v/>
      </c>
      <c r="S9" s="198"/>
      <c r="T9" s="198"/>
      <c r="U9" s="199" t="str">
        <f t="shared" si="6"/>
        <v/>
      </c>
      <c r="V9" s="198"/>
      <c r="W9" s="199" t="str">
        <f t="shared" si="7"/>
        <v/>
      </c>
      <c r="X9" s="200"/>
      <c r="Y9" s="200"/>
      <c r="Z9" s="199" t="str">
        <f t="shared" si="8"/>
        <v/>
      </c>
      <c r="AA9" s="199" t="str">
        <f t="shared" si="1"/>
        <v/>
      </c>
    </row>
    <row r="10" spans="1:27" x14ac:dyDescent="0.25">
      <c r="C10" s="198"/>
      <c r="D10" s="198"/>
      <c r="E10" s="198"/>
      <c r="F10" s="199" t="str">
        <f t="shared" si="0"/>
        <v/>
      </c>
      <c r="G10" s="198"/>
      <c r="H10" s="198"/>
      <c r="I10" s="199" t="str">
        <f t="shared" si="2"/>
        <v/>
      </c>
      <c r="J10" s="198"/>
      <c r="K10" s="198"/>
      <c r="L10" s="199" t="str">
        <f t="shared" si="3"/>
        <v/>
      </c>
      <c r="M10" s="198"/>
      <c r="N10" s="198"/>
      <c r="O10" s="199" t="str">
        <f t="shared" si="4"/>
        <v/>
      </c>
      <c r="P10" s="198"/>
      <c r="Q10" s="198"/>
      <c r="R10" s="199" t="str">
        <f t="shared" si="5"/>
        <v/>
      </c>
      <c r="S10" s="198"/>
      <c r="T10" s="198"/>
      <c r="U10" s="199" t="str">
        <f t="shared" si="6"/>
        <v/>
      </c>
      <c r="V10" s="198"/>
      <c r="W10" s="199" t="str">
        <f t="shared" si="7"/>
        <v/>
      </c>
      <c r="X10" s="200"/>
      <c r="Y10" s="200"/>
      <c r="Z10" s="199" t="str">
        <f t="shared" si="8"/>
        <v/>
      </c>
      <c r="AA10" s="199" t="str">
        <f t="shared" si="1"/>
        <v/>
      </c>
    </row>
    <row r="11" spans="1:27" x14ac:dyDescent="0.25">
      <c r="C11" s="198"/>
      <c r="D11" s="198"/>
      <c r="E11" s="198"/>
      <c r="F11" s="199" t="str">
        <f t="shared" si="0"/>
        <v/>
      </c>
      <c r="G11" s="198"/>
      <c r="H11" s="198"/>
      <c r="I11" s="199" t="str">
        <f t="shared" si="2"/>
        <v/>
      </c>
      <c r="J11" s="198"/>
      <c r="K11" s="198"/>
      <c r="L11" s="199" t="str">
        <f t="shared" si="3"/>
        <v/>
      </c>
      <c r="M11" s="198"/>
      <c r="N11" s="198"/>
      <c r="O11" s="199" t="str">
        <f t="shared" si="4"/>
        <v/>
      </c>
      <c r="P11" s="198"/>
      <c r="Q11" s="198"/>
      <c r="R11" s="199" t="str">
        <f t="shared" si="5"/>
        <v/>
      </c>
      <c r="S11" s="198"/>
      <c r="T11" s="198"/>
      <c r="U11" s="199" t="str">
        <f t="shared" si="6"/>
        <v/>
      </c>
      <c r="V11" s="198"/>
      <c r="W11" s="199" t="str">
        <f t="shared" si="7"/>
        <v/>
      </c>
      <c r="X11" s="200"/>
      <c r="Y11" s="200"/>
      <c r="Z11" s="199" t="str">
        <f t="shared" si="8"/>
        <v/>
      </c>
      <c r="AA11" s="199" t="str">
        <f t="shared" si="1"/>
        <v/>
      </c>
    </row>
    <row r="12" spans="1:27" x14ac:dyDescent="0.25">
      <c r="C12" s="198"/>
      <c r="D12" s="198"/>
      <c r="E12" s="198"/>
      <c r="F12" s="199" t="str">
        <f t="shared" si="0"/>
        <v/>
      </c>
      <c r="G12" s="198"/>
      <c r="H12" s="198"/>
      <c r="I12" s="199" t="str">
        <f t="shared" si="2"/>
        <v/>
      </c>
      <c r="J12" s="198"/>
      <c r="K12" s="198"/>
      <c r="L12" s="199" t="str">
        <f t="shared" si="3"/>
        <v/>
      </c>
      <c r="M12" s="198"/>
      <c r="N12" s="198"/>
      <c r="O12" s="199" t="str">
        <f t="shared" si="4"/>
        <v/>
      </c>
      <c r="P12" s="198"/>
      <c r="Q12" s="198"/>
      <c r="R12" s="199" t="str">
        <f t="shared" si="5"/>
        <v/>
      </c>
      <c r="S12" s="198"/>
      <c r="T12" s="198"/>
      <c r="U12" s="199" t="str">
        <f t="shared" si="6"/>
        <v/>
      </c>
      <c r="V12" s="198"/>
      <c r="W12" s="199" t="str">
        <f t="shared" si="7"/>
        <v/>
      </c>
      <c r="X12" s="200"/>
      <c r="Y12" s="200"/>
      <c r="Z12" s="199" t="str">
        <f t="shared" si="8"/>
        <v/>
      </c>
      <c r="AA12" s="199" t="str">
        <f t="shared" si="1"/>
        <v/>
      </c>
    </row>
    <row r="13" spans="1:27" x14ac:dyDescent="0.25">
      <c r="C13" s="198"/>
      <c r="D13" s="198"/>
      <c r="E13" s="198"/>
      <c r="F13" s="199" t="str">
        <f t="shared" si="0"/>
        <v/>
      </c>
      <c r="G13" s="198"/>
      <c r="H13" s="198"/>
      <c r="I13" s="199" t="str">
        <f t="shared" si="2"/>
        <v/>
      </c>
      <c r="J13" s="198"/>
      <c r="K13" s="198"/>
      <c r="L13" s="199" t="str">
        <f t="shared" si="3"/>
        <v/>
      </c>
      <c r="M13" s="198"/>
      <c r="N13" s="198"/>
      <c r="O13" s="199" t="str">
        <f t="shared" si="4"/>
        <v/>
      </c>
      <c r="P13" s="198"/>
      <c r="Q13" s="198"/>
      <c r="R13" s="199" t="str">
        <f t="shared" si="5"/>
        <v/>
      </c>
      <c r="S13" s="198"/>
      <c r="T13" s="198"/>
      <c r="U13" s="199" t="str">
        <f t="shared" si="6"/>
        <v/>
      </c>
      <c r="V13" s="198"/>
      <c r="W13" s="199" t="str">
        <f t="shared" si="7"/>
        <v/>
      </c>
      <c r="X13" s="200"/>
      <c r="Y13" s="200"/>
      <c r="Z13" s="199" t="str">
        <f t="shared" si="8"/>
        <v/>
      </c>
      <c r="AA13" s="199" t="str">
        <f t="shared" si="1"/>
        <v/>
      </c>
    </row>
    <row r="14" spans="1:27" x14ac:dyDescent="0.25">
      <c r="C14" s="198"/>
      <c r="D14" s="198"/>
      <c r="E14" s="198"/>
      <c r="F14" s="199" t="str">
        <f t="shared" si="0"/>
        <v/>
      </c>
      <c r="G14" s="198"/>
      <c r="H14" s="198"/>
      <c r="I14" s="199" t="str">
        <f t="shared" si="2"/>
        <v/>
      </c>
      <c r="J14" s="198"/>
      <c r="K14" s="198"/>
      <c r="L14" s="199" t="str">
        <f t="shared" si="3"/>
        <v/>
      </c>
      <c r="M14" s="198"/>
      <c r="N14" s="198"/>
      <c r="O14" s="199" t="str">
        <f t="shared" si="4"/>
        <v/>
      </c>
      <c r="P14" s="198"/>
      <c r="Q14" s="198"/>
      <c r="R14" s="199" t="str">
        <f t="shared" si="5"/>
        <v/>
      </c>
      <c r="S14" s="198"/>
      <c r="T14" s="198"/>
      <c r="U14" s="199" t="str">
        <f t="shared" si="6"/>
        <v/>
      </c>
      <c r="V14" s="198"/>
      <c r="W14" s="199" t="str">
        <f t="shared" si="7"/>
        <v/>
      </c>
      <c r="X14" s="200"/>
      <c r="Y14" s="200"/>
      <c r="Z14" s="199" t="str">
        <f t="shared" si="8"/>
        <v/>
      </c>
      <c r="AA14" s="199" t="str">
        <f t="shared" si="1"/>
        <v/>
      </c>
    </row>
    <row r="15" spans="1:27" x14ac:dyDescent="0.25">
      <c r="C15" s="198"/>
      <c r="D15" s="198"/>
      <c r="E15" s="198"/>
      <c r="F15" s="199" t="str">
        <f t="shared" si="0"/>
        <v/>
      </c>
      <c r="G15" s="198"/>
      <c r="H15" s="198"/>
      <c r="I15" s="199" t="str">
        <f t="shared" si="2"/>
        <v/>
      </c>
      <c r="J15" s="198"/>
      <c r="K15" s="198"/>
      <c r="L15" s="199" t="str">
        <f t="shared" si="3"/>
        <v/>
      </c>
      <c r="M15" s="198"/>
      <c r="N15" s="198"/>
      <c r="O15" s="199" t="str">
        <f t="shared" si="4"/>
        <v/>
      </c>
      <c r="P15" s="198"/>
      <c r="Q15" s="198"/>
      <c r="R15" s="199" t="str">
        <f t="shared" si="5"/>
        <v/>
      </c>
      <c r="S15" s="198"/>
      <c r="T15" s="198"/>
      <c r="U15" s="199" t="str">
        <f t="shared" si="6"/>
        <v/>
      </c>
      <c r="V15" s="198"/>
      <c r="W15" s="199" t="str">
        <f t="shared" si="7"/>
        <v/>
      </c>
      <c r="X15" s="200"/>
      <c r="Y15" s="200"/>
      <c r="Z15" s="199" t="str">
        <f t="shared" si="8"/>
        <v/>
      </c>
      <c r="AA15" s="199" t="str">
        <f t="shared" si="1"/>
        <v/>
      </c>
    </row>
    <row r="16" spans="1:27" x14ac:dyDescent="0.25">
      <c r="C16" s="198"/>
      <c r="D16" s="198"/>
      <c r="E16" s="198"/>
      <c r="F16" s="199" t="str">
        <f t="shared" si="0"/>
        <v/>
      </c>
      <c r="G16" s="198"/>
      <c r="H16" s="198"/>
      <c r="I16" s="199" t="str">
        <f t="shared" si="2"/>
        <v/>
      </c>
      <c r="J16" s="198"/>
      <c r="K16" s="198"/>
      <c r="L16" s="199" t="str">
        <f t="shared" si="3"/>
        <v/>
      </c>
      <c r="M16" s="198"/>
      <c r="N16" s="198"/>
      <c r="O16" s="199" t="str">
        <f t="shared" si="4"/>
        <v/>
      </c>
      <c r="P16" s="198"/>
      <c r="Q16" s="198"/>
      <c r="R16" s="199" t="str">
        <f t="shared" si="5"/>
        <v/>
      </c>
      <c r="S16" s="198"/>
      <c r="T16" s="198"/>
      <c r="U16" s="199" t="str">
        <f t="shared" si="6"/>
        <v/>
      </c>
      <c r="V16" s="198"/>
      <c r="W16" s="199" t="str">
        <f t="shared" si="7"/>
        <v/>
      </c>
      <c r="X16" s="200"/>
      <c r="Y16" s="200"/>
      <c r="Z16" s="199" t="str">
        <f t="shared" si="8"/>
        <v/>
      </c>
      <c r="AA16" s="199" t="str">
        <f t="shared" si="1"/>
        <v/>
      </c>
    </row>
    <row r="17" spans="1:27" x14ac:dyDescent="0.25">
      <c r="C17" s="198"/>
      <c r="D17" s="198"/>
      <c r="E17" s="198"/>
      <c r="F17" s="199" t="str">
        <f t="shared" si="0"/>
        <v/>
      </c>
      <c r="G17" s="198"/>
      <c r="H17" s="198"/>
      <c r="I17" s="199" t="str">
        <f t="shared" si="2"/>
        <v/>
      </c>
      <c r="J17" s="198"/>
      <c r="K17" s="198"/>
      <c r="L17" s="199" t="str">
        <f t="shared" si="3"/>
        <v/>
      </c>
      <c r="M17" s="198"/>
      <c r="N17" s="198"/>
      <c r="O17" s="199" t="str">
        <f t="shared" si="4"/>
        <v/>
      </c>
      <c r="P17" s="198"/>
      <c r="Q17" s="198"/>
      <c r="R17" s="199" t="str">
        <f t="shared" si="5"/>
        <v/>
      </c>
      <c r="S17" s="198"/>
      <c r="T17" s="198"/>
      <c r="U17" s="199" t="str">
        <f t="shared" si="6"/>
        <v/>
      </c>
      <c r="V17" s="198"/>
      <c r="W17" s="199" t="str">
        <f t="shared" si="7"/>
        <v/>
      </c>
      <c r="X17" s="200"/>
      <c r="Y17" s="200"/>
      <c r="Z17" s="199" t="str">
        <f t="shared" si="8"/>
        <v/>
      </c>
      <c r="AA17" s="199" t="str">
        <f t="shared" si="1"/>
        <v/>
      </c>
    </row>
    <row r="18" spans="1:27" x14ac:dyDescent="0.25">
      <c r="C18" s="198"/>
      <c r="D18" s="198"/>
      <c r="E18" s="198"/>
      <c r="F18" s="199" t="str">
        <f t="shared" si="0"/>
        <v/>
      </c>
      <c r="G18" s="198"/>
      <c r="H18" s="198"/>
      <c r="I18" s="199" t="str">
        <f t="shared" si="2"/>
        <v/>
      </c>
      <c r="J18" s="198"/>
      <c r="K18" s="198"/>
      <c r="L18" s="199" t="str">
        <f t="shared" si="3"/>
        <v/>
      </c>
      <c r="M18" s="198"/>
      <c r="N18" s="198"/>
      <c r="O18" s="199" t="str">
        <f t="shared" si="4"/>
        <v/>
      </c>
      <c r="P18" s="198"/>
      <c r="Q18" s="198"/>
      <c r="R18" s="199" t="str">
        <f t="shared" si="5"/>
        <v/>
      </c>
      <c r="S18" s="198"/>
      <c r="T18" s="198"/>
      <c r="U18" s="199" t="str">
        <f t="shared" si="6"/>
        <v/>
      </c>
      <c r="V18" s="198"/>
      <c r="W18" s="199" t="str">
        <f t="shared" si="7"/>
        <v/>
      </c>
      <c r="X18" s="200"/>
      <c r="Y18" s="200"/>
      <c r="Z18" s="199" t="str">
        <f t="shared" si="8"/>
        <v/>
      </c>
      <c r="AA18" s="199" t="str">
        <f t="shared" si="1"/>
        <v/>
      </c>
    </row>
    <row r="19" spans="1:27" x14ac:dyDescent="0.25">
      <c r="C19" s="198"/>
      <c r="D19" s="198"/>
      <c r="E19" s="198"/>
      <c r="F19" s="199" t="str">
        <f t="shared" si="0"/>
        <v/>
      </c>
      <c r="G19" s="198"/>
      <c r="H19" s="198"/>
      <c r="I19" s="199" t="str">
        <f t="shared" si="2"/>
        <v/>
      </c>
      <c r="J19" s="198"/>
      <c r="K19" s="198"/>
      <c r="L19" s="199" t="str">
        <f t="shared" si="3"/>
        <v/>
      </c>
      <c r="M19" s="198"/>
      <c r="N19" s="198"/>
      <c r="O19" s="199" t="str">
        <f t="shared" si="4"/>
        <v/>
      </c>
      <c r="P19" s="198"/>
      <c r="Q19" s="198"/>
      <c r="R19" s="199" t="str">
        <f t="shared" si="5"/>
        <v/>
      </c>
      <c r="S19" s="198"/>
      <c r="T19" s="198"/>
      <c r="U19" s="199" t="str">
        <f t="shared" si="6"/>
        <v/>
      </c>
      <c r="V19" s="198"/>
      <c r="W19" s="199" t="str">
        <f t="shared" si="7"/>
        <v/>
      </c>
      <c r="X19" s="200"/>
      <c r="Y19" s="200"/>
      <c r="Z19" s="199" t="str">
        <f t="shared" si="8"/>
        <v/>
      </c>
      <c r="AA19" s="199" t="str">
        <f t="shared" si="1"/>
        <v/>
      </c>
    </row>
    <row r="20" spans="1:27" x14ac:dyDescent="0.25">
      <c r="C20" s="198"/>
      <c r="D20" s="198"/>
      <c r="E20" s="198"/>
      <c r="F20" s="199" t="str">
        <f t="shared" si="0"/>
        <v/>
      </c>
      <c r="G20" s="198"/>
      <c r="H20" s="198"/>
      <c r="I20" s="199" t="str">
        <f t="shared" si="2"/>
        <v/>
      </c>
      <c r="J20" s="198"/>
      <c r="K20" s="198"/>
      <c r="L20" s="199" t="str">
        <f t="shared" si="3"/>
        <v/>
      </c>
      <c r="M20" s="198"/>
      <c r="N20" s="198"/>
      <c r="O20" s="199" t="str">
        <f t="shared" si="4"/>
        <v/>
      </c>
      <c r="P20" s="198"/>
      <c r="Q20" s="198"/>
      <c r="R20" s="199" t="str">
        <f t="shared" si="5"/>
        <v/>
      </c>
      <c r="S20" s="198"/>
      <c r="T20" s="198"/>
      <c r="U20" s="199" t="str">
        <f t="shared" si="6"/>
        <v/>
      </c>
      <c r="V20" s="198"/>
      <c r="W20" s="199" t="str">
        <f t="shared" si="7"/>
        <v/>
      </c>
      <c r="X20" s="200"/>
      <c r="Y20" s="200"/>
      <c r="Z20" s="199" t="str">
        <f t="shared" si="8"/>
        <v/>
      </c>
      <c r="AA20" s="199" t="str">
        <f t="shared" si="1"/>
        <v/>
      </c>
    </row>
    <row r="21" spans="1:27" x14ac:dyDescent="0.25">
      <c r="AA21" s="201"/>
    </row>
    <row r="22" spans="1:27" ht="15.75" thickBot="1" x14ac:dyDescent="0.3"/>
    <row r="23" spans="1:27" ht="15.75" thickBot="1" x14ac:dyDescent="0.3">
      <c r="A23" s="202" t="s">
        <v>218</v>
      </c>
      <c r="B23" s="203" t="s">
        <v>219</v>
      </c>
    </row>
    <row r="24" spans="1:27" x14ac:dyDescent="0.25">
      <c r="A24" s="204" t="s">
        <v>220</v>
      </c>
      <c r="B24" s="205">
        <v>20</v>
      </c>
    </row>
    <row r="25" spans="1:27" x14ac:dyDescent="0.25">
      <c r="A25" s="206" t="s">
        <v>221</v>
      </c>
      <c r="B25" s="207">
        <v>16.5</v>
      </c>
    </row>
    <row r="26" spans="1:27" x14ac:dyDescent="0.25">
      <c r="A26" s="206" t="s">
        <v>270</v>
      </c>
      <c r="B26" s="207">
        <v>16</v>
      </c>
    </row>
    <row r="27" spans="1:27" x14ac:dyDescent="0.25">
      <c r="A27" s="206" t="s">
        <v>222</v>
      </c>
      <c r="B27" s="207">
        <v>15</v>
      </c>
    </row>
    <row r="28" spans="1:27" x14ac:dyDescent="0.25">
      <c r="A28" s="206" t="s">
        <v>223</v>
      </c>
      <c r="B28" s="207">
        <v>15</v>
      </c>
    </row>
    <row r="29" spans="1:27" x14ac:dyDescent="0.25">
      <c r="A29" s="206" t="s">
        <v>299</v>
      </c>
      <c r="B29" s="207">
        <v>16</v>
      </c>
    </row>
    <row r="30" spans="1:27" x14ac:dyDescent="0.25">
      <c r="A30" s="206" t="s">
        <v>272</v>
      </c>
      <c r="B30" s="207">
        <v>18.600000000000001</v>
      </c>
    </row>
    <row r="31" spans="1:27" x14ac:dyDescent="0.25">
      <c r="A31" s="206" t="s">
        <v>273</v>
      </c>
      <c r="B31" s="207">
        <v>19.100000000000001</v>
      </c>
    </row>
    <row r="32" spans="1:27" x14ac:dyDescent="0.25">
      <c r="A32" s="206"/>
      <c r="B32" s="207"/>
    </row>
    <row r="33" spans="1:2" x14ac:dyDescent="0.25">
      <c r="A33" s="206"/>
      <c r="B33" s="207"/>
    </row>
    <row r="34" spans="1:2" x14ac:dyDescent="0.25">
      <c r="A34" s="206" t="s">
        <v>224</v>
      </c>
      <c r="B34" s="207">
        <v>11</v>
      </c>
    </row>
    <row r="35" spans="1:2" x14ac:dyDescent="0.25">
      <c r="A35" s="206" t="s">
        <v>225</v>
      </c>
      <c r="B35" s="207">
        <v>23</v>
      </c>
    </row>
    <row r="36" spans="1:2" x14ac:dyDescent="0.25">
      <c r="A36" s="206" t="s">
        <v>226</v>
      </c>
      <c r="B36" s="207">
        <v>25</v>
      </c>
    </row>
    <row r="37" spans="1:2" x14ac:dyDescent="0.25">
      <c r="A37" s="206" t="s">
        <v>227</v>
      </c>
      <c r="B37" s="207">
        <v>19</v>
      </c>
    </row>
    <row r="38" spans="1:2" ht="30" x14ac:dyDescent="0.25">
      <c r="A38" s="206" t="s">
        <v>228</v>
      </c>
      <c r="B38" s="207">
        <v>20</v>
      </c>
    </row>
    <row r="39" spans="1:2" x14ac:dyDescent="0.25">
      <c r="A39" s="206" t="s">
        <v>229</v>
      </c>
      <c r="B39" s="207">
        <v>14</v>
      </c>
    </row>
    <row r="40" spans="1:2" ht="15.75" thickBot="1" x14ac:dyDescent="0.3">
      <c r="A40" s="208" t="s">
        <v>230</v>
      </c>
      <c r="B40" s="209">
        <v>10</v>
      </c>
    </row>
  </sheetData>
  <mergeCells count="1">
    <mergeCell ref="C4:AA4"/>
  </mergeCells>
  <pageMargins left="0.7" right="0.7" top="0.75" bottom="0.75" header="0.3" footer="0.3"/>
  <pageSetup orientation="portrait" horizontalDpi="90" verticalDpi="9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7"/>
  <sheetViews>
    <sheetView view="pageBreakPreview" topLeftCell="A79" zoomScaleNormal="100" zoomScaleSheetLayoutView="100" workbookViewId="0">
      <selection activeCell="C100" sqref="C100"/>
    </sheetView>
  </sheetViews>
  <sheetFormatPr defaultRowHeight="12.75" x14ac:dyDescent="0.2"/>
  <cols>
    <col min="1" max="1" width="24.85546875" customWidth="1"/>
    <col min="2" max="3" width="15.7109375" customWidth="1"/>
    <col min="4" max="6" width="10.7109375" customWidth="1"/>
  </cols>
  <sheetData>
    <row r="1" spans="1:6" ht="18" x14ac:dyDescent="0.25">
      <c r="A1" s="450" t="s">
        <v>125</v>
      </c>
      <c r="B1" s="450"/>
      <c r="C1" s="450"/>
      <c r="D1" s="450"/>
      <c r="E1" s="450"/>
      <c r="F1" s="450"/>
    </row>
    <row r="2" spans="1:6" ht="15.75" x14ac:dyDescent="0.25">
      <c r="A2" s="451" t="s">
        <v>126</v>
      </c>
      <c r="B2" s="451"/>
      <c r="C2" s="451"/>
      <c r="D2" s="451"/>
      <c r="E2" s="451"/>
      <c r="F2" s="451"/>
    </row>
    <row r="3" spans="1:6" ht="15.75" x14ac:dyDescent="0.25">
      <c r="A3" s="67"/>
      <c r="B3" s="67"/>
      <c r="C3" s="67"/>
      <c r="D3" s="67"/>
      <c r="E3" s="67"/>
      <c r="F3" s="67"/>
    </row>
    <row r="4" spans="1:6" x14ac:dyDescent="0.2">
      <c r="A4" s="9" t="s">
        <v>56</v>
      </c>
      <c r="B4" s="8" t="s">
        <v>121</v>
      </c>
      <c r="C4" s="8"/>
      <c r="D4" s="8"/>
      <c r="E4" s="8"/>
    </row>
    <row r="5" spans="1:6" x14ac:dyDescent="0.2">
      <c r="A5" s="9" t="s">
        <v>122</v>
      </c>
      <c r="B5" s="8" t="s">
        <v>92</v>
      </c>
      <c r="C5" s="8"/>
      <c r="D5" s="8"/>
      <c r="E5" s="8"/>
    </row>
    <row r="6" spans="1:6" x14ac:dyDescent="0.2">
      <c r="A6" s="8"/>
      <c r="B6" s="8"/>
      <c r="C6" s="8"/>
      <c r="D6" s="8"/>
      <c r="E6" s="8"/>
    </row>
    <row r="7" spans="1:6" x14ac:dyDescent="0.2">
      <c r="A7" s="9" t="s">
        <v>76</v>
      </c>
      <c r="B7" s="10"/>
      <c r="C7" s="10"/>
      <c r="D7" s="10"/>
      <c r="E7" s="10"/>
    </row>
    <row r="8" spans="1:6" x14ac:dyDescent="0.2">
      <c r="A8" s="11" t="s">
        <v>21</v>
      </c>
      <c r="B8" s="12" t="s">
        <v>61</v>
      </c>
      <c r="C8" s="13"/>
      <c r="D8" s="14" t="s">
        <v>55</v>
      </c>
      <c r="E8" s="15" t="s">
        <v>54</v>
      </c>
    </row>
    <row r="9" spans="1:6" x14ac:dyDescent="0.2">
      <c r="A9" s="16"/>
      <c r="B9" s="17"/>
      <c r="C9" s="17"/>
      <c r="D9" s="18" t="s">
        <v>57</v>
      </c>
      <c r="E9" s="19" t="s">
        <v>57</v>
      </c>
    </row>
    <row r="10" spans="1:6" x14ac:dyDescent="0.2">
      <c r="A10" s="20" t="s">
        <v>93</v>
      </c>
      <c r="B10" s="20"/>
      <c r="C10" s="20"/>
      <c r="D10" s="21"/>
      <c r="E10" s="21"/>
    </row>
    <row r="11" spans="1:6" x14ac:dyDescent="0.2">
      <c r="A11" s="8" t="s">
        <v>33</v>
      </c>
      <c r="B11" s="8" t="s">
        <v>0</v>
      </c>
      <c r="C11" s="8"/>
      <c r="D11" s="22"/>
      <c r="E11" s="22">
        <v>0.25</v>
      </c>
    </row>
    <row r="12" spans="1:6" x14ac:dyDescent="0.2">
      <c r="A12" s="8" t="s">
        <v>1</v>
      </c>
      <c r="B12" s="8" t="s">
        <v>2</v>
      </c>
      <c r="C12" s="8"/>
      <c r="D12" s="22"/>
      <c r="E12" s="22"/>
    </row>
    <row r="13" spans="1:6" x14ac:dyDescent="0.2">
      <c r="A13" s="8" t="s">
        <v>3</v>
      </c>
      <c r="B13" s="8" t="s">
        <v>4</v>
      </c>
      <c r="C13" s="8"/>
      <c r="D13" s="22"/>
      <c r="E13" s="22"/>
    </row>
    <row r="14" spans="1:6" x14ac:dyDescent="0.2">
      <c r="A14" s="8" t="s">
        <v>5</v>
      </c>
      <c r="B14" s="8" t="s">
        <v>6</v>
      </c>
      <c r="C14" s="8" t="s">
        <v>7</v>
      </c>
      <c r="D14" s="22">
        <v>1</v>
      </c>
      <c r="E14" s="22">
        <v>1</v>
      </c>
    </row>
    <row r="15" spans="1:6" x14ac:dyDescent="0.2">
      <c r="A15" s="8" t="s">
        <v>8</v>
      </c>
      <c r="B15" s="8" t="s">
        <v>6</v>
      </c>
      <c r="C15" s="8" t="s">
        <v>9</v>
      </c>
      <c r="D15" s="22">
        <v>0.67</v>
      </c>
      <c r="E15" s="22">
        <v>0.67</v>
      </c>
    </row>
    <row r="16" spans="1:6" x14ac:dyDescent="0.2">
      <c r="A16" s="8" t="s">
        <v>14</v>
      </c>
      <c r="B16" s="8" t="s">
        <v>11</v>
      </c>
      <c r="C16" s="8" t="s">
        <v>96</v>
      </c>
      <c r="D16" s="22">
        <v>0.5</v>
      </c>
      <c r="E16" s="22">
        <v>0.5</v>
      </c>
    </row>
    <row r="17" spans="1:5" x14ac:dyDescent="0.2">
      <c r="A17" s="8" t="s">
        <v>10</v>
      </c>
      <c r="B17" s="8" t="s">
        <v>11</v>
      </c>
      <c r="C17" s="8" t="s">
        <v>12</v>
      </c>
      <c r="D17" s="22">
        <v>0.33</v>
      </c>
      <c r="E17" s="22">
        <v>0.33</v>
      </c>
    </row>
    <row r="18" spans="1:5" x14ac:dyDescent="0.2">
      <c r="A18" s="8" t="s">
        <v>94</v>
      </c>
      <c r="B18" s="8"/>
      <c r="C18" s="8"/>
      <c r="D18" s="22"/>
      <c r="E18" s="22"/>
    </row>
    <row r="19" spans="1:5" x14ac:dyDescent="0.2">
      <c r="A19" s="8" t="s">
        <v>13</v>
      </c>
      <c r="B19" s="8" t="s">
        <v>11</v>
      </c>
      <c r="C19" s="8" t="s">
        <v>95</v>
      </c>
      <c r="D19" s="22">
        <v>4</v>
      </c>
      <c r="E19" s="22">
        <v>32</v>
      </c>
    </row>
    <row r="20" spans="1:5" x14ac:dyDescent="0.2">
      <c r="A20" s="8" t="s">
        <v>97</v>
      </c>
      <c r="B20" s="8" t="s">
        <v>11</v>
      </c>
      <c r="C20" s="8" t="s">
        <v>98</v>
      </c>
      <c r="D20" s="22">
        <v>1</v>
      </c>
      <c r="E20" s="22">
        <v>1</v>
      </c>
    </row>
    <row r="21" spans="1:5" x14ac:dyDescent="0.2">
      <c r="A21" s="8" t="s">
        <v>99</v>
      </c>
      <c r="B21" s="8" t="s">
        <v>11</v>
      </c>
      <c r="C21" s="8" t="s">
        <v>96</v>
      </c>
      <c r="D21" s="22">
        <v>0.5</v>
      </c>
      <c r="E21" s="22">
        <v>0.5</v>
      </c>
    </row>
    <row r="22" spans="1:5" x14ac:dyDescent="0.2">
      <c r="A22" s="8" t="s">
        <v>14</v>
      </c>
      <c r="B22" s="8" t="s">
        <v>11</v>
      </c>
      <c r="C22" s="8" t="s">
        <v>96</v>
      </c>
      <c r="D22" s="22">
        <v>0.5</v>
      </c>
      <c r="E22" s="22">
        <v>0.5</v>
      </c>
    </row>
    <row r="23" spans="1:5" x14ac:dyDescent="0.2">
      <c r="A23" s="8" t="s">
        <v>123</v>
      </c>
      <c r="B23" s="8" t="s">
        <v>11</v>
      </c>
      <c r="C23" s="8" t="s">
        <v>96</v>
      </c>
      <c r="D23" s="22">
        <v>2</v>
      </c>
      <c r="E23" s="22">
        <v>2</v>
      </c>
    </row>
    <row r="24" spans="1:5" x14ac:dyDescent="0.2">
      <c r="A24" s="8" t="s">
        <v>100</v>
      </c>
      <c r="B24" s="8"/>
      <c r="C24" s="8" t="s">
        <v>101</v>
      </c>
      <c r="D24" s="22">
        <v>4.5</v>
      </c>
      <c r="E24" s="22">
        <v>6</v>
      </c>
    </row>
    <row r="25" spans="1:5" x14ac:dyDescent="0.2">
      <c r="A25" s="8" t="s">
        <v>124</v>
      </c>
      <c r="B25" s="8"/>
      <c r="C25" s="8"/>
      <c r="D25" s="22"/>
      <c r="E25" s="22"/>
    </row>
    <row r="26" spans="1:5" x14ac:dyDescent="0.2">
      <c r="A26" s="8" t="s">
        <v>15</v>
      </c>
      <c r="B26" s="8" t="s">
        <v>16</v>
      </c>
      <c r="C26" s="8"/>
      <c r="D26" s="22"/>
      <c r="E26" s="22">
        <v>40</v>
      </c>
    </row>
    <row r="27" spans="1:5" x14ac:dyDescent="0.2">
      <c r="A27" s="8" t="s">
        <v>17</v>
      </c>
      <c r="B27" s="8" t="s">
        <v>18</v>
      </c>
      <c r="C27" s="8" t="s">
        <v>19</v>
      </c>
      <c r="D27" s="22">
        <v>12</v>
      </c>
      <c r="E27" s="22">
        <v>12</v>
      </c>
    </row>
    <row r="28" spans="1:5" x14ac:dyDescent="0.2">
      <c r="A28" s="23" t="s">
        <v>20</v>
      </c>
      <c r="B28" s="23" t="s">
        <v>6</v>
      </c>
      <c r="C28" s="23" t="s">
        <v>9</v>
      </c>
      <c r="D28" s="24">
        <v>0.33</v>
      </c>
      <c r="E28" s="24">
        <v>0.33</v>
      </c>
    </row>
    <row r="29" spans="1:5" x14ac:dyDescent="0.2">
      <c r="A29" s="25" t="s">
        <v>69</v>
      </c>
      <c r="B29" s="25"/>
      <c r="C29" s="25"/>
      <c r="D29" s="26">
        <f>SUM(D11:D28)</f>
        <v>27.33</v>
      </c>
      <c r="E29" s="26">
        <f>SUM(E11:E28)</f>
        <v>97.08</v>
      </c>
    </row>
    <row r="30" spans="1:5" x14ac:dyDescent="0.2">
      <c r="A30" s="8"/>
      <c r="B30" s="8"/>
      <c r="C30" s="8"/>
      <c r="D30" s="8"/>
      <c r="E30" s="8"/>
    </row>
    <row r="31" spans="1:5" x14ac:dyDescent="0.2">
      <c r="A31" s="9" t="s">
        <v>77</v>
      </c>
      <c r="B31" s="8"/>
      <c r="C31" s="8"/>
      <c r="D31" s="10"/>
      <c r="E31" s="10"/>
    </row>
    <row r="32" spans="1:5" x14ac:dyDescent="0.2">
      <c r="A32" s="11" t="s">
        <v>21</v>
      </c>
      <c r="B32" s="12" t="s">
        <v>22</v>
      </c>
      <c r="C32" s="12" t="s">
        <v>74</v>
      </c>
      <c r="D32" s="14" t="s">
        <v>58</v>
      </c>
      <c r="E32" s="15" t="s">
        <v>58</v>
      </c>
    </row>
    <row r="33" spans="1:5" x14ac:dyDescent="0.2">
      <c r="A33" s="16"/>
      <c r="B33" s="17"/>
      <c r="C33" s="17"/>
      <c r="D33" s="18" t="s">
        <v>60</v>
      </c>
      <c r="E33" s="19" t="s">
        <v>59</v>
      </c>
    </row>
    <row r="34" spans="1:5" x14ac:dyDescent="0.2">
      <c r="A34" s="8" t="s">
        <v>23</v>
      </c>
      <c r="B34" s="27">
        <f>E11</f>
        <v>0.25</v>
      </c>
      <c r="C34" s="8" t="s">
        <v>62</v>
      </c>
      <c r="D34" s="28">
        <f>16</f>
        <v>16</v>
      </c>
      <c r="E34" s="29">
        <f>B34*D34</f>
        <v>4</v>
      </c>
    </row>
    <row r="35" spans="1:5" x14ac:dyDescent="0.2">
      <c r="A35" s="8" t="s">
        <v>5</v>
      </c>
      <c r="B35" s="27">
        <f>E14</f>
        <v>1</v>
      </c>
      <c r="C35" s="8" t="s">
        <v>62</v>
      </c>
      <c r="D35" s="30">
        <f>16</f>
        <v>16</v>
      </c>
      <c r="E35" s="31">
        <f t="shared" ref="E35:E48" si="0">B35*D35</f>
        <v>16</v>
      </c>
    </row>
    <row r="36" spans="1:5" x14ac:dyDescent="0.2">
      <c r="A36" s="8" t="s">
        <v>24</v>
      </c>
      <c r="B36" s="27">
        <f>E15</f>
        <v>0.67</v>
      </c>
      <c r="C36" s="8" t="s">
        <v>62</v>
      </c>
      <c r="D36" s="30">
        <f>16</f>
        <v>16</v>
      </c>
      <c r="E36" s="31">
        <f t="shared" si="0"/>
        <v>10.72</v>
      </c>
    </row>
    <row r="37" spans="1:5" x14ac:dyDescent="0.2">
      <c r="A37" s="8" t="s">
        <v>26</v>
      </c>
      <c r="B37" s="27">
        <f>E16</f>
        <v>0.5</v>
      </c>
      <c r="C37" s="8" t="s">
        <v>62</v>
      </c>
      <c r="D37" s="30">
        <f>16</f>
        <v>16</v>
      </c>
      <c r="E37" s="31">
        <f>B37*D37</f>
        <v>8</v>
      </c>
    </row>
    <row r="38" spans="1:5" x14ac:dyDescent="0.2">
      <c r="A38" s="8" t="s">
        <v>25</v>
      </c>
      <c r="B38" s="27">
        <f>E17</f>
        <v>0.33</v>
      </c>
      <c r="C38" s="8" t="s">
        <v>62</v>
      </c>
      <c r="D38" s="30">
        <f>16</f>
        <v>16</v>
      </c>
      <c r="E38" s="31">
        <f>B38*D38</f>
        <v>5.28</v>
      </c>
    </row>
    <row r="39" spans="1:5" x14ac:dyDescent="0.2">
      <c r="A39" s="8" t="s">
        <v>13</v>
      </c>
      <c r="B39" s="27">
        <f>28</f>
        <v>28</v>
      </c>
      <c r="C39" s="8" t="s">
        <v>63</v>
      </c>
      <c r="D39" s="30">
        <v>9</v>
      </c>
      <c r="E39" s="31">
        <f t="shared" si="0"/>
        <v>252</v>
      </c>
    </row>
    <row r="40" spans="1:5" x14ac:dyDescent="0.2">
      <c r="A40" s="8" t="s">
        <v>13</v>
      </c>
      <c r="B40" s="27">
        <f>4</f>
        <v>4</v>
      </c>
      <c r="C40" s="8" t="s">
        <v>62</v>
      </c>
      <c r="D40" s="30">
        <v>16</v>
      </c>
      <c r="E40" s="31">
        <f>B40*D40</f>
        <v>64</v>
      </c>
    </row>
    <row r="41" spans="1:5" x14ac:dyDescent="0.2">
      <c r="A41" s="8" t="s">
        <v>102</v>
      </c>
      <c r="B41" s="27">
        <f>E20</f>
        <v>1</v>
      </c>
      <c r="C41" s="8" t="s">
        <v>62</v>
      </c>
      <c r="D41" s="30">
        <v>16</v>
      </c>
      <c r="E41" s="31">
        <f t="shared" si="0"/>
        <v>16</v>
      </c>
    </row>
    <row r="42" spans="1:5" x14ac:dyDescent="0.2">
      <c r="A42" s="8" t="s">
        <v>103</v>
      </c>
      <c r="B42" s="27">
        <f>E21</f>
        <v>0.5</v>
      </c>
      <c r="C42" s="8" t="s">
        <v>62</v>
      </c>
      <c r="D42" s="30">
        <v>16</v>
      </c>
      <c r="E42" s="31">
        <f>B42*D42</f>
        <v>8</v>
      </c>
    </row>
    <row r="43" spans="1:5" x14ac:dyDescent="0.2">
      <c r="A43" s="8" t="s">
        <v>26</v>
      </c>
      <c r="B43" s="27">
        <f>E22</f>
        <v>0.5</v>
      </c>
      <c r="C43" s="8" t="s">
        <v>62</v>
      </c>
      <c r="D43" s="30">
        <v>16</v>
      </c>
      <c r="E43" s="31">
        <f t="shared" si="0"/>
        <v>8</v>
      </c>
    </row>
    <row r="44" spans="1:5" x14ac:dyDescent="0.2">
      <c r="A44" s="8" t="s">
        <v>64</v>
      </c>
      <c r="B44" s="27">
        <f>E23</f>
        <v>2</v>
      </c>
      <c r="C44" s="8" t="s">
        <v>62</v>
      </c>
      <c r="D44" s="30">
        <v>16</v>
      </c>
      <c r="E44" s="31">
        <f t="shared" si="0"/>
        <v>32</v>
      </c>
    </row>
    <row r="45" spans="1:5" x14ac:dyDescent="0.2">
      <c r="A45" s="8" t="s">
        <v>104</v>
      </c>
      <c r="B45" s="27">
        <f>2</f>
        <v>2</v>
      </c>
      <c r="C45" s="8" t="s">
        <v>62</v>
      </c>
      <c r="D45" s="30">
        <v>16</v>
      </c>
      <c r="E45" s="31">
        <f>B45*D45</f>
        <v>32</v>
      </c>
    </row>
    <row r="46" spans="1:5" x14ac:dyDescent="0.2">
      <c r="A46" s="8" t="s">
        <v>104</v>
      </c>
      <c r="B46" s="27">
        <v>4</v>
      </c>
      <c r="C46" s="8" t="s">
        <v>63</v>
      </c>
      <c r="D46" s="30">
        <v>9</v>
      </c>
      <c r="E46" s="31">
        <f>B46*D46</f>
        <v>36</v>
      </c>
    </row>
    <row r="47" spans="1:5" x14ac:dyDescent="0.2">
      <c r="A47" s="8" t="s">
        <v>27</v>
      </c>
      <c r="B47" s="27">
        <f>E26</f>
        <v>40</v>
      </c>
      <c r="C47" s="8" t="s">
        <v>63</v>
      </c>
      <c r="D47" s="30">
        <v>9</v>
      </c>
      <c r="E47" s="31">
        <f t="shared" si="0"/>
        <v>360</v>
      </c>
    </row>
    <row r="48" spans="1:5" x14ac:dyDescent="0.2">
      <c r="A48" s="32" t="s">
        <v>28</v>
      </c>
      <c r="B48" s="33">
        <f>E27</f>
        <v>12</v>
      </c>
      <c r="C48" s="32" t="s">
        <v>62</v>
      </c>
      <c r="D48" s="34">
        <v>16</v>
      </c>
      <c r="E48" s="35">
        <f t="shared" si="0"/>
        <v>192</v>
      </c>
    </row>
    <row r="49" spans="1:5" x14ac:dyDescent="0.2">
      <c r="A49" s="36" t="s">
        <v>20</v>
      </c>
      <c r="B49" s="37">
        <f>E28</f>
        <v>0.33</v>
      </c>
      <c r="C49" s="36" t="s">
        <v>62</v>
      </c>
      <c r="D49" s="38">
        <v>16</v>
      </c>
      <c r="E49" s="39">
        <f>B49*D49</f>
        <v>5.28</v>
      </c>
    </row>
    <row r="50" spans="1:5" x14ac:dyDescent="0.2">
      <c r="A50" s="8" t="s">
        <v>66</v>
      </c>
      <c r="B50" s="40">
        <f>B34+B35+B36+B37+B38+B40+B41+B42+B43+B44+B45+B48+B49</f>
        <v>25.08</v>
      </c>
      <c r="C50" s="8"/>
      <c r="D50" s="41">
        <f>16</f>
        <v>16</v>
      </c>
      <c r="E50" s="29">
        <f>D50*B50</f>
        <v>401.28</v>
      </c>
    </row>
    <row r="51" spans="1:5" x14ac:dyDescent="0.2">
      <c r="A51" s="8" t="s">
        <v>67</v>
      </c>
      <c r="B51" s="27">
        <f>B39+B46+B47</f>
        <v>72</v>
      </c>
      <c r="C51" s="8"/>
      <c r="D51" s="42">
        <v>9</v>
      </c>
      <c r="E51" s="29">
        <f>D51*B51</f>
        <v>648</v>
      </c>
    </row>
    <row r="52" spans="1:5" x14ac:dyDescent="0.2">
      <c r="A52" s="23" t="s">
        <v>65</v>
      </c>
      <c r="B52" s="23"/>
      <c r="C52" s="23"/>
      <c r="D52" s="23"/>
      <c r="E52" s="43">
        <f>E50+E51</f>
        <v>1049.28</v>
      </c>
    </row>
    <row r="53" spans="1:5" x14ac:dyDescent="0.2">
      <c r="A53" s="8"/>
      <c r="B53" s="8"/>
      <c r="C53" s="8"/>
      <c r="D53" s="8"/>
      <c r="E53" s="8"/>
    </row>
    <row r="54" spans="1:5" x14ac:dyDescent="0.2">
      <c r="A54" s="9" t="s">
        <v>78</v>
      </c>
      <c r="B54" s="8"/>
      <c r="C54" s="8"/>
      <c r="D54" s="10"/>
      <c r="E54" s="10"/>
    </row>
    <row r="55" spans="1:5" x14ac:dyDescent="0.2">
      <c r="A55" s="11" t="s">
        <v>29</v>
      </c>
      <c r="B55" s="12" t="s">
        <v>30</v>
      </c>
      <c r="C55" s="14" t="s">
        <v>31</v>
      </c>
      <c r="D55" s="14" t="s">
        <v>32</v>
      </c>
      <c r="E55" s="15" t="s">
        <v>68</v>
      </c>
    </row>
    <row r="56" spans="1:5" x14ac:dyDescent="0.2">
      <c r="A56" s="44"/>
      <c r="B56" s="45"/>
      <c r="C56" s="45"/>
      <c r="D56" s="18"/>
      <c r="E56" s="19" t="s">
        <v>70</v>
      </c>
    </row>
    <row r="57" spans="1:5" x14ac:dyDescent="0.2">
      <c r="A57" s="8" t="s">
        <v>33</v>
      </c>
      <c r="B57" s="8"/>
      <c r="C57" s="30">
        <v>1</v>
      </c>
      <c r="D57" s="28">
        <v>10</v>
      </c>
      <c r="E57" s="28">
        <v>10</v>
      </c>
    </row>
    <row r="58" spans="1:5" x14ac:dyDescent="0.2">
      <c r="A58" s="8" t="s">
        <v>34</v>
      </c>
      <c r="B58" s="8" t="s">
        <v>71</v>
      </c>
      <c r="C58" s="30" t="s">
        <v>105</v>
      </c>
      <c r="D58" s="30">
        <v>36</v>
      </c>
      <c r="E58" s="30">
        <v>36</v>
      </c>
    </row>
    <row r="59" spans="1:5" x14ac:dyDescent="0.2">
      <c r="A59" s="8" t="s">
        <v>35</v>
      </c>
      <c r="B59" s="8"/>
      <c r="C59" s="30"/>
      <c r="D59" s="30">
        <v>12</v>
      </c>
      <c r="E59" s="30">
        <v>12</v>
      </c>
    </row>
    <row r="60" spans="1:5" x14ac:dyDescent="0.2">
      <c r="A60" s="8" t="s">
        <v>113</v>
      </c>
      <c r="B60" s="8" t="s">
        <v>106</v>
      </c>
      <c r="C60" s="30">
        <v>15000</v>
      </c>
      <c r="D60" s="30">
        <v>0.06</v>
      </c>
      <c r="E60" s="30">
        <f>C60*D60</f>
        <v>900</v>
      </c>
    </row>
    <row r="61" spans="1:5" x14ac:dyDescent="0.2">
      <c r="A61" s="8" t="s">
        <v>36</v>
      </c>
      <c r="B61" s="8"/>
      <c r="C61" s="30" t="s">
        <v>105</v>
      </c>
      <c r="D61" s="30" t="s">
        <v>105</v>
      </c>
      <c r="E61" s="30">
        <v>140</v>
      </c>
    </row>
    <row r="62" spans="1:5" x14ac:dyDescent="0.2">
      <c r="A62" s="8" t="s">
        <v>37</v>
      </c>
      <c r="B62" s="8"/>
      <c r="C62" s="30"/>
      <c r="D62" s="30"/>
      <c r="E62" s="30"/>
    </row>
    <row r="63" spans="1:5" x14ac:dyDescent="0.2">
      <c r="A63" s="8" t="s">
        <v>38</v>
      </c>
      <c r="B63" s="8" t="s">
        <v>72</v>
      </c>
      <c r="C63" s="30">
        <v>0.19</v>
      </c>
      <c r="D63" s="30">
        <v>30.8</v>
      </c>
      <c r="E63" s="30">
        <f t="shared" ref="E63:E68" si="1">C63*D63</f>
        <v>5.8520000000000003</v>
      </c>
    </row>
    <row r="64" spans="1:5" x14ac:dyDescent="0.2">
      <c r="A64" s="8" t="s">
        <v>107</v>
      </c>
      <c r="B64" s="8" t="s">
        <v>73</v>
      </c>
      <c r="C64" s="30">
        <v>2</v>
      </c>
      <c r="D64" s="30">
        <v>8.35</v>
      </c>
      <c r="E64" s="30">
        <f t="shared" si="1"/>
        <v>16.7</v>
      </c>
    </row>
    <row r="65" spans="1:6" x14ac:dyDescent="0.2">
      <c r="A65" s="8" t="s">
        <v>108</v>
      </c>
      <c r="B65" s="8" t="s">
        <v>109</v>
      </c>
      <c r="C65" s="30">
        <v>4</v>
      </c>
      <c r="D65" s="30">
        <v>11</v>
      </c>
      <c r="E65" s="30">
        <f t="shared" si="1"/>
        <v>44</v>
      </c>
    </row>
    <row r="66" spans="1:6" x14ac:dyDescent="0.2">
      <c r="A66" s="8" t="s">
        <v>110</v>
      </c>
      <c r="B66" s="8" t="s">
        <v>72</v>
      </c>
      <c r="C66" s="30">
        <v>0.09</v>
      </c>
      <c r="D66" s="30">
        <v>110.75</v>
      </c>
      <c r="E66" s="30">
        <f t="shared" si="1"/>
        <v>9.9674999999999994</v>
      </c>
    </row>
    <row r="67" spans="1:6" x14ac:dyDescent="0.2">
      <c r="A67" s="8" t="s">
        <v>111</v>
      </c>
      <c r="B67" s="8" t="s">
        <v>72</v>
      </c>
      <c r="C67" s="30">
        <v>0.38</v>
      </c>
      <c r="D67" s="30">
        <v>43</v>
      </c>
      <c r="E67" s="30">
        <f t="shared" si="1"/>
        <v>16.34</v>
      </c>
    </row>
    <row r="68" spans="1:6" x14ac:dyDescent="0.2">
      <c r="A68" s="8" t="s">
        <v>39</v>
      </c>
      <c r="B68" s="8" t="s">
        <v>112</v>
      </c>
      <c r="C68" s="30">
        <v>800</v>
      </c>
      <c r="D68" s="30">
        <v>1.05</v>
      </c>
      <c r="E68" s="30">
        <f t="shared" si="1"/>
        <v>840</v>
      </c>
    </row>
    <row r="69" spans="1:6" x14ac:dyDescent="0.2">
      <c r="A69" s="8"/>
      <c r="B69" s="8"/>
      <c r="C69" s="30"/>
      <c r="D69" s="30"/>
      <c r="E69" s="30"/>
    </row>
    <row r="70" spans="1:6" x14ac:dyDescent="0.2">
      <c r="A70" s="25" t="s">
        <v>40</v>
      </c>
      <c r="B70" s="25"/>
      <c r="C70" s="25"/>
      <c r="D70" s="25"/>
      <c r="E70" s="46">
        <f>SUM(E57:E68)</f>
        <v>2030.8595</v>
      </c>
    </row>
    <row r="71" spans="1:6" x14ac:dyDescent="0.2">
      <c r="A71" s="8"/>
      <c r="B71" s="8"/>
      <c r="C71" s="8"/>
      <c r="D71" s="8"/>
      <c r="E71" s="8"/>
    </row>
    <row r="72" spans="1:6" x14ac:dyDescent="0.2">
      <c r="A72" s="9" t="s">
        <v>75</v>
      </c>
      <c r="B72" s="8"/>
      <c r="C72" s="8"/>
      <c r="D72" s="8"/>
      <c r="E72" s="8"/>
    </row>
    <row r="73" spans="1:6" x14ac:dyDescent="0.2">
      <c r="A73" s="11" t="s">
        <v>41</v>
      </c>
      <c r="B73" s="12" t="s">
        <v>79</v>
      </c>
      <c r="C73" s="13" t="s">
        <v>91</v>
      </c>
      <c r="D73" s="13"/>
      <c r="E73" s="13" t="s">
        <v>43</v>
      </c>
      <c r="F73" s="6"/>
    </row>
    <row r="74" spans="1:6" x14ac:dyDescent="0.2">
      <c r="A74" s="47"/>
      <c r="B74" s="45" t="s">
        <v>42</v>
      </c>
      <c r="C74" s="48" t="s">
        <v>89</v>
      </c>
      <c r="D74" s="48" t="s">
        <v>90</v>
      </c>
      <c r="E74" s="48" t="s">
        <v>89</v>
      </c>
      <c r="F74" s="7" t="s">
        <v>90</v>
      </c>
    </row>
    <row r="75" spans="1:6" x14ac:dyDescent="0.2">
      <c r="A75" s="8" t="s">
        <v>44</v>
      </c>
      <c r="B75" s="49">
        <f>D14+D15+D28</f>
        <v>2</v>
      </c>
      <c r="C75" s="28">
        <v>4.5</v>
      </c>
      <c r="D75" s="28">
        <f>B75*C75</f>
        <v>9</v>
      </c>
      <c r="E75" s="28">
        <v>12</v>
      </c>
      <c r="F75" s="4">
        <f>E75*B75</f>
        <v>24</v>
      </c>
    </row>
    <row r="76" spans="1:6" x14ac:dyDescent="0.2">
      <c r="A76" s="8" t="s">
        <v>45</v>
      </c>
      <c r="B76" s="49">
        <f>SUM(D16:D23)+D27</f>
        <v>20.83</v>
      </c>
      <c r="C76" s="30">
        <v>3</v>
      </c>
      <c r="D76" s="30">
        <f>B76*C76</f>
        <v>62.489999999999995</v>
      </c>
      <c r="E76" s="30">
        <v>3.35</v>
      </c>
      <c r="F76" s="5">
        <f>B76*E76</f>
        <v>69.780499999999989</v>
      </c>
    </row>
    <row r="77" spans="1:6" x14ac:dyDescent="0.2">
      <c r="A77" s="8" t="s">
        <v>115</v>
      </c>
      <c r="B77" s="49">
        <v>24</v>
      </c>
      <c r="C77" s="30">
        <v>5</v>
      </c>
      <c r="D77" s="30">
        <f>B77*C77</f>
        <v>120</v>
      </c>
      <c r="E77" s="30">
        <v>3</v>
      </c>
      <c r="F77" s="5">
        <f>B77*E77</f>
        <v>72</v>
      </c>
    </row>
    <row r="78" spans="1:6" x14ac:dyDescent="0.2">
      <c r="A78" s="8" t="s">
        <v>46</v>
      </c>
      <c r="B78" s="49">
        <f>D14</f>
        <v>1</v>
      </c>
      <c r="C78" s="30">
        <v>2</v>
      </c>
      <c r="D78" s="30">
        <f t="shared" ref="D78:D84" si="2">B78*C78</f>
        <v>2</v>
      </c>
      <c r="E78" s="30">
        <v>8</v>
      </c>
      <c r="F78" s="5">
        <f t="shared" ref="F78:F84" si="3">B78*E78</f>
        <v>8</v>
      </c>
    </row>
    <row r="79" spans="1:6" x14ac:dyDescent="0.2">
      <c r="A79" s="8" t="s">
        <v>47</v>
      </c>
      <c r="B79" s="49">
        <f>D15+D28</f>
        <v>1</v>
      </c>
      <c r="C79" s="30">
        <v>1.1499999999999999</v>
      </c>
      <c r="D79" s="30">
        <f t="shared" si="2"/>
        <v>1.1499999999999999</v>
      </c>
      <c r="E79" s="30">
        <v>15</v>
      </c>
      <c r="F79" s="5">
        <f t="shared" si="3"/>
        <v>15</v>
      </c>
    </row>
    <row r="80" spans="1:6" x14ac:dyDescent="0.2">
      <c r="A80" s="8" t="s">
        <v>95</v>
      </c>
      <c r="B80" s="49">
        <f>D19</f>
        <v>4</v>
      </c>
      <c r="C80" s="30">
        <v>1</v>
      </c>
      <c r="D80" s="30">
        <f>B80*C80</f>
        <v>4</v>
      </c>
      <c r="E80" s="30">
        <v>3</v>
      </c>
      <c r="F80" s="5">
        <f>B80*E80</f>
        <v>12</v>
      </c>
    </row>
    <row r="81" spans="1:6" x14ac:dyDescent="0.2">
      <c r="A81" s="8" t="s">
        <v>48</v>
      </c>
      <c r="B81" s="49">
        <f>SUM(D21:D23)+D16</f>
        <v>3.5</v>
      </c>
      <c r="C81" s="30">
        <v>1.5</v>
      </c>
      <c r="D81" s="30">
        <f t="shared" si="2"/>
        <v>5.25</v>
      </c>
      <c r="E81" s="30">
        <v>5.25</v>
      </c>
      <c r="F81" s="5">
        <f t="shared" si="3"/>
        <v>18.375</v>
      </c>
    </row>
    <row r="82" spans="1:6" x14ac:dyDescent="0.2">
      <c r="A82" s="8" t="s">
        <v>49</v>
      </c>
      <c r="B82" s="49">
        <f>D20</f>
        <v>1</v>
      </c>
      <c r="C82" s="30">
        <v>1</v>
      </c>
      <c r="D82" s="30">
        <f t="shared" si="2"/>
        <v>1</v>
      </c>
      <c r="E82" s="30">
        <v>1.25</v>
      </c>
      <c r="F82" s="5">
        <f t="shared" si="3"/>
        <v>1.25</v>
      </c>
    </row>
    <row r="83" spans="1:6" x14ac:dyDescent="0.2">
      <c r="A83" s="8" t="s">
        <v>114</v>
      </c>
      <c r="B83" s="49">
        <f>D20</f>
        <v>1</v>
      </c>
      <c r="C83" s="30">
        <v>1</v>
      </c>
      <c r="D83" s="30">
        <f>B83*C83</f>
        <v>1</v>
      </c>
      <c r="E83" s="30">
        <v>1</v>
      </c>
      <c r="F83" s="5">
        <f>B83*D83</f>
        <v>1</v>
      </c>
    </row>
    <row r="84" spans="1:6" x14ac:dyDescent="0.2">
      <c r="A84" s="8" t="s">
        <v>50</v>
      </c>
      <c r="B84" s="49">
        <v>12</v>
      </c>
      <c r="C84" s="30">
        <v>0.25</v>
      </c>
      <c r="D84" s="30">
        <f t="shared" si="2"/>
        <v>3</v>
      </c>
      <c r="E84" s="30">
        <v>1</v>
      </c>
      <c r="F84" s="5">
        <f t="shared" si="3"/>
        <v>12</v>
      </c>
    </row>
    <row r="85" spans="1:6" x14ac:dyDescent="0.2">
      <c r="A85" s="8" t="s">
        <v>40</v>
      </c>
      <c r="B85" s="8"/>
      <c r="C85" s="8"/>
      <c r="D85" s="29">
        <f>SUM(D75:D84)</f>
        <v>208.89000000000001</v>
      </c>
      <c r="E85" s="8"/>
      <c r="F85" s="1">
        <f>SUM(F75:F84)</f>
        <v>233.40549999999999</v>
      </c>
    </row>
    <row r="86" spans="1:6" x14ac:dyDescent="0.2">
      <c r="A86" s="23" t="s">
        <v>51</v>
      </c>
      <c r="B86" s="23"/>
      <c r="C86" s="23"/>
      <c r="D86" s="23"/>
      <c r="E86" s="23"/>
      <c r="F86" s="3">
        <f>D85+F85</f>
        <v>442.2955</v>
      </c>
    </row>
    <row r="87" spans="1:6" x14ac:dyDescent="0.2">
      <c r="A87" s="8"/>
      <c r="B87" s="8"/>
      <c r="C87" s="8"/>
      <c r="D87" s="8"/>
      <c r="E87" s="8"/>
    </row>
    <row r="88" spans="1:6" x14ac:dyDescent="0.2">
      <c r="A88" s="50" t="s">
        <v>80</v>
      </c>
      <c r="B88" s="8"/>
      <c r="C88" s="8"/>
      <c r="D88" s="8"/>
      <c r="E88" s="8"/>
    </row>
    <row r="89" spans="1:6" x14ac:dyDescent="0.2">
      <c r="A89" s="51" t="str">
        <f>B4</f>
        <v>Cabbage 1 Acre</v>
      </c>
      <c r="B89" s="25"/>
      <c r="C89" s="52" t="s">
        <v>42</v>
      </c>
      <c r="D89" s="8"/>
      <c r="E89" s="8"/>
    </row>
    <row r="90" spans="1:6" x14ac:dyDescent="0.2">
      <c r="A90" s="8" t="s">
        <v>116</v>
      </c>
      <c r="B90" s="53" t="s">
        <v>105</v>
      </c>
      <c r="C90" s="29">
        <f>E50</f>
        <v>401.28</v>
      </c>
      <c r="D90" s="8"/>
      <c r="E90" s="8"/>
    </row>
    <row r="91" spans="1:6" x14ac:dyDescent="0.2">
      <c r="A91" s="8" t="s">
        <v>117</v>
      </c>
      <c r="B91" s="27" t="s">
        <v>105</v>
      </c>
      <c r="C91" s="31">
        <f>E51</f>
        <v>648</v>
      </c>
      <c r="D91" s="8"/>
      <c r="E91" s="8"/>
    </row>
    <row r="92" spans="1:6" x14ac:dyDescent="0.2">
      <c r="A92" s="53" t="s">
        <v>83</v>
      </c>
      <c r="B92" s="8"/>
      <c r="C92" s="31">
        <f>E70</f>
        <v>2030.8595</v>
      </c>
      <c r="D92" s="8"/>
      <c r="E92" s="8"/>
    </row>
    <row r="93" spans="1:6" x14ac:dyDescent="0.2">
      <c r="A93" s="8" t="s">
        <v>52</v>
      </c>
      <c r="B93" s="8"/>
      <c r="C93" s="31">
        <f>D85</f>
        <v>208.89000000000001</v>
      </c>
      <c r="D93" s="8"/>
      <c r="E93" s="8"/>
    </row>
    <row r="94" spans="1:6" x14ac:dyDescent="0.2">
      <c r="A94" s="23" t="s">
        <v>84</v>
      </c>
      <c r="B94" s="23"/>
      <c r="C94" s="54">
        <f>F85</f>
        <v>233.40549999999999</v>
      </c>
      <c r="D94" s="8"/>
      <c r="E94" s="8"/>
      <c r="F94" s="63"/>
    </row>
    <row r="95" spans="1:6" x14ac:dyDescent="0.2">
      <c r="A95" s="25" t="s">
        <v>53</v>
      </c>
      <c r="B95" s="25"/>
      <c r="C95" s="55">
        <f>SUM(C90:C94)</f>
        <v>3522.4349999999999</v>
      </c>
      <c r="D95" s="8"/>
      <c r="E95" s="8"/>
    </row>
    <row r="96" spans="1:6" x14ac:dyDescent="0.2">
      <c r="A96" s="8" t="s">
        <v>82</v>
      </c>
      <c r="B96" s="8"/>
      <c r="C96" s="8"/>
      <c r="D96" s="8"/>
      <c r="E96" s="8"/>
    </row>
    <row r="97" spans="1:6" x14ac:dyDescent="0.2">
      <c r="A97" s="8"/>
      <c r="B97" s="8"/>
      <c r="C97" s="8"/>
      <c r="D97" s="8"/>
      <c r="E97" s="8"/>
      <c r="F97" s="63"/>
    </row>
    <row r="98" spans="1:6" x14ac:dyDescent="0.2">
      <c r="A98" s="9" t="s">
        <v>81</v>
      </c>
      <c r="B98" s="10"/>
      <c r="C98" s="10"/>
      <c r="D98" s="10"/>
      <c r="E98" s="10"/>
    </row>
    <row r="99" spans="1:6" x14ac:dyDescent="0.2">
      <c r="A99" s="64" t="s">
        <v>85</v>
      </c>
      <c r="B99" s="56" t="s">
        <v>105</v>
      </c>
      <c r="C99" s="56" t="s">
        <v>119</v>
      </c>
      <c r="D99" s="56"/>
      <c r="E99" s="57"/>
    </row>
    <row r="100" spans="1:6" x14ac:dyDescent="0.2">
      <c r="A100" s="18" t="s">
        <v>118</v>
      </c>
      <c r="B100" s="62">
        <v>4</v>
      </c>
      <c r="C100" s="62">
        <v>6</v>
      </c>
      <c r="D100" s="62">
        <v>8</v>
      </c>
      <c r="E100" s="62">
        <v>10</v>
      </c>
      <c r="F100" s="63"/>
    </row>
    <row r="101" spans="1:6" x14ac:dyDescent="0.2">
      <c r="A101" s="8">
        <v>400</v>
      </c>
      <c r="B101">
        <f>A101*B100</f>
        <v>1600</v>
      </c>
      <c r="C101">
        <f>C100*A101</f>
        <v>2400</v>
      </c>
      <c r="D101">
        <f>D100*A101</f>
        <v>3200</v>
      </c>
      <c r="E101">
        <f>E100*A101</f>
        <v>4000</v>
      </c>
    </row>
    <row r="102" spans="1:6" x14ac:dyDescent="0.2">
      <c r="A102" s="58">
        <v>600</v>
      </c>
      <c r="B102">
        <f>A102*B100</f>
        <v>2400</v>
      </c>
      <c r="C102">
        <f>C100*A102</f>
        <v>3600</v>
      </c>
      <c r="D102">
        <f>D100*A102</f>
        <v>4800</v>
      </c>
      <c r="E102">
        <f>E100*A102</f>
        <v>6000</v>
      </c>
      <c r="F102" s="63"/>
    </row>
    <row r="103" spans="1:6" x14ac:dyDescent="0.2">
      <c r="A103" s="59">
        <v>800</v>
      </c>
      <c r="B103">
        <f>A103*B100</f>
        <v>3200</v>
      </c>
      <c r="C103">
        <f>C100*A103</f>
        <v>4800</v>
      </c>
      <c r="D103">
        <f>D100*A103</f>
        <v>6400</v>
      </c>
      <c r="E103">
        <f>E100*A103</f>
        <v>8000</v>
      </c>
    </row>
    <row r="104" spans="1:6" x14ac:dyDescent="0.2">
      <c r="A104" s="23">
        <v>1000</v>
      </c>
      <c r="B104" s="2">
        <f>B100*A104</f>
        <v>4000</v>
      </c>
      <c r="C104" s="2">
        <f>A104*C100</f>
        <v>6000</v>
      </c>
      <c r="D104" s="2">
        <f>A104*D100</f>
        <v>8000</v>
      </c>
      <c r="E104" s="2">
        <f>A104*E100</f>
        <v>10000</v>
      </c>
    </row>
    <row r="105" spans="1:6" x14ac:dyDescent="0.2">
      <c r="A105" s="8"/>
      <c r="B105" s="8"/>
      <c r="C105" s="8"/>
      <c r="D105" s="8"/>
      <c r="E105" s="8"/>
      <c r="F105" s="63"/>
    </row>
    <row r="106" spans="1:6" x14ac:dyDescent="0.2">
      <c r="A106" s="9" t="s">
        <v>86</v>
      </c>
      <c r="B106" s="8"/>
      <c r="C106" s="8"/>
      <c r="D106" s="8"/>
      <c r="E106" s="8"/>
    </row>
    <row r="107" spans="1:6" x14ac:dyDescent="0.2">
      <c r="A107" s="64" t="s">
        <v>85</v>
      </c>
      <c r="B107" s="56" t="s">
        <v>105</v>
      </c>
      <c r="C107" s="56" t="s">
        <v>119</v>
      </c>
      <c r="D107" s="56"/>
      <c r="E107" s="57"/>
    </row>
    <row r="108" spans="1:6" x14ac:dyDescent="0.2">
      <c r="A108" s="18" t="s">
        <v>120</v>
      </c>
      <c r="B108" s="43">
        <v>4</v>
      </c>
      <c r="C108" s="43">
        <v>6</v>
      </c>
      <c r="D108" s="43">
        <v>8</v>
      </c>
      <c r="E108" s="43">
        <v>10</v>
      </c>
    </row>
    <row r="109" spans="1:6" x14ac:dyDescent="0.2">
      <c r="A109" s="8">
        <v>400</v>
      </c>
      <c r="B109" s="65">
        <f>(B101-C95)-(2*A109)</f>
        <v>-2722.4349999999999</v>
      </c>
      <c r="C109" s="65">
        <f>(C101-C95)-(2*A109)</f>
        <v>-1922.4349999999999</v>
      </c>
      <c r="D109" s="65">
        <f>(D101-C95)-(2*A109)</f>
        <v>-1122.4349999999999</v>
      </c>
      <c r="E109" s="65">
        <f>(E101-C95)-(2*A109)</f>
        <v>-322.43499999999995</v>
      </c>
    </row>
    <row r="110" spans="1:6" x14ac:dyDescent="0.2">
      <c r="A110" s="58">
        <v>600</v>
      </c>
      <c r="B110" s="65">
        <f>(B102-C95)-(2*A110)</f>
        <v>-2322.4349999999999</v>
      </c>
      <c r="C110" s="65">
        <f>(C102-C95)-(2*A110)</f>
        <v>-1122.4349999999999</v>
      </c>
      <c r="D110" s="65">
        <f>(D102-C95)-(2*A110)</f>
        <v>77.565000000000055</v>
      </c>
      <c r="E110" s="65">
        <f>(E102-C95)-(2*A110)</f>
        <v>1277.5650000000001</v>
      </c>
    </row>
    <row r="111" spans="1:6" x14ac:dyDescent="0.2">
      <c r="A111" s="59">
        <v>800</v>
      </c>
      <c r="B111" s="65">
        <f>(B103-C95)-(2*A111)</f>
        <v>-1922.4349999999999</v>
      </c>
      <c r="C111" s="65">
        <f>(C103-C95)-(2*A111)</f>
        <v>-322.43499999999995</v>
      </c>
      <c r="D111" s="65">
        <f>(D103-C95)-(2*A111)</f>
        <v>1277.5650000000001</v>
      </c>
      <c r="E111" s="65">
        <f>(E103-C95)-(2*A111)</f>
        <v>2877.5650000000005</v>
      </c>
    </row>
    <row r="112" spans="1:6" x14ac:dyDescent="0.2">
      <c r="A112" s="61">
        <v>1000</v>
      </c>
      <c r="B112" s="66">
        <f>(B104-C95)-(2*A112)</f>
        <v>-1522.4349999999999</v>
      </c>
      <c r="C112" s="66">
        <f>(C104-C95)-(2*A112)</f>
        <v>477.56500000000005</v>
      </c>
      <c r="D112" s="66">
        <f>(D104-C95)-(2*A112)</f>
        <v>2477.5650000000005</v>
      </c>
      <c r="E112" s="66">
        <f>(E104-C95)-(2*A112)</f>
        <v>4477.5650000000005</v>
      </c>
    </row>
    <row r="113" spans="1:6" x14ac:dyDescent="0.2">
      <c r="A113" s="59"/>
      <c r="B113" s="60"/>
      <c r="C113" s="60"/>
      <c r="D113" s="60"/>
      <c r="E113" s="60"/>
    </row>
    <row r="114" spans="1:6" x14ac:dyDescent="0.2">
      <c r="A114" s="8" t="s">
        <v>87</v>
      </c>
      <c r="B114" s="8"/>
      <c r="C114" s="58">
        <v>700</v>
      </c>
      <c r="D114" s="8"/>
      <c r="E114" s="8"/>
    </row>
    <row r="115" spans="1:6" x14ac:dyDescent="0.2">
      <c r="A115" s="8" t="s">
        <v>88</v>
      </c>
      <c r="B115" s="8"/>
      <c r="C115" s="28">
        <v>2</v>
      </c>
      <c r="D115" s="8"/>
      <c r="E115" s="8"/>
    </row>
    <row r="117" spans="1:6" ht="41.25" customHeight="1" x14ac:dyDescent="0.2">
      <c r="A117" s="452" t="s">
        <v>127</v>
      </c>
      <c r="B117" s="452"/>
      <c r="C117" s="452"/>
      <c r="D117" s="452"/>
      <c r="E117" s="452"/>
      <c r="F117" s="452"/>
    </row>
  </sheetData>
  <mergeCells count="3">
    <mergeCell ref="A1:F1"/>
    <mergeCell ref="A2:F2"/>
    <mergeCell ref="A117:F117"/>
  </mergeCells>
  <phoneticPr fontId="6" type="noConversion"/>
  <pageMargins left="0.75" right="0.75" top="1" bottom="1" header="0.5" footer="0.5"/>
  <pageSetup scale="98" orientation="portrait" horizontalDpi="300" verticalDpi="300" r:id="rId1"/>
  <headerFooter alignWithMargins="0"/>
  <rowBreaks count="5" manualBreakCount="5">
    <brk id="29" max="5" man="1"/>
    <brk id="52" max="5" man="1"/>
    <brk id="70" max="5" man="1"/>
    <brk id="86" max="5" man="1"/>
    <brk id="118" max="5" man="1"/>
  </rowBreaks>
  <webPublishItems count="1">
    <webPublishItem id="15310" divId="cabbage_15310" sourceType="sheet" destinationFile="\\Ruth1\common\Crop Bugets\cabbage.html"/>
  </webPublishItem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8"/>
  <sheetViews>
    <sheetView view="pageBreakPreview" topLeftCell="A80" zoomScaleNormal="100" zoomScaleSheetLayoutView="100" workbookViewId="0">
      <selection activeCell="D89" sqref="D89"/>
    </sheetView>
  </sheetViews>
  <sheetFormatPr defaultRowHeight="12.75" x14ac:dyDescent="0.2"/>
  <cols>
    <col min="1" max="1" width="24.85546875" customWidth="1"/>
    <col min="2" max="3" width="15.7109375" customWidth="1"/>
    <col min="4" max="6" width="10.7109375" customWidth="1"/>
  </cols>
  <sheetData>
    <row r="1" spans="1:6" ht="18" x14ac:dyDescent="0.25">
      <c r="A1" s="450" t="s">
        <v>125</v>
      </c>
      <c r="B1" s="450"/>
      <c r="C1" s="450"/>
      <c r="D1" s="450"/>
      <c r="E1" s="450"/>
      <c r="F1" s="450"/>
    </row>
    <row r="2" spans="1:6" ht="15.75" x14ac:dyDescent="0.25">
      <c r="A2" s="451" t="s">
        <v>126</v>
      </c>
      <c r="B2" s="451"/>
      <c r="C2" s="451"/>
      <c r="D2" s="451"/>
      <c r="E2" s="451"/>
      <c r="F2" s="451"/>
    </row>
    <row r="3" spans="1:6" ht="18" x14ac:dyDescent="0.25">
      <c r="A3" s="83"/>
    </row>
    <row r="4" spans="1:6" x14ac:dyDescent="0.2">
      <c r="A4" s="82" t="s">
        <v>56</v>
      </c>
      <c r="B4" s="8" t="s">
        <v>166</v>
      </c>
    </row>
    <row r="5" spans="1:6" x14ac:dyDescent="0.2">
      <c r="A5" s="9" t="s">
        <v>165</v>
      </c>
      <c r="B5" s="8" t="s">
        <v>164</v>
      </c>
      <c r="C5" s="8"/>
      <c r="D5" s="8"/>
      <c r="E5" s="8"/>
    </row>
    <row r="6" spans="1:6" x14ac:dyDescent="0.2">
      <c r="A6" s="8"/>
      <c r="B6" s="8"/>
      <c r="C6" s="8"/>
      <c r="D6" s="8"/>
      <c r="E6" s="8"/>
    </row>
    <row r="7" spans="1:6" x14ac:dyDescent="0.2">
      <c r="A7" s="9" t="s">
        <v>76</v>
      </c>
      <c r="B7" s="10"/>
      <c r="C7" s="10"/>
      <c r="D7" s="10"/>
      <c r="E7" s="10"/>
    </row>
    <row r="8" spans="1:6" x14ac:dyDescent="0.2">
      <c r="A8" s="11" t="s">
        <v>21</v>
      </c>
      <c r="B8" s="12" t="s">
        <v>61</v>
      </c>
      <c r="C8" s="13"/>
      <c r="D8" s="14" t="s">
        <v>55</v>
      </c>
      <c r="E8" s="15" t="s">
        <v>54</v>
      </c>
    </row>
    <row r="9" spans="1:6" x14ac:dyDescent="0.2">
      <c r="A9" s="16"/>
      <c r="B9" s="17"/>
      <c r="C9" s="17"/>
      <c r="D9" s="18" t="s">
        <v>57</v>
      </c>
      <c r="E9" s="19" t="s">
        <v>57</v>
      </c>
    </row>
    <row r="10" spans="1:6" x14ac:dyDescent="0.2">
      <c r="A10" s="81" t="s">
        <v>163</v>
      </c>
      <c r="B10" s="81"/>
      <c r="C10" s="81"/>
      <c r="D10" s="71"/>
      <c r="E10" s="71"/>
    </row>
    <row r="11" spans="1:6" x14ac:dyDescent="0.2">
      <c r="A11" s="8" t="s">
        <v>33</v>
      </c>
      <c r="B11" s="8" t="s">
        <v>162</v>
      </c>
      <c r="C11" s="8"/>
      <c r="D11" s="22"/>
      <c r="E11" s="22">
        <v>0.25</v>
      </c>
    </row>
    <row r="12" spans="1:6" x14ac:dyDescent="0.2">
      <c r="A12" s="8" t="s">
        <v>1</v>
      </c>
      <c r="B12" s="8" t="s">
        <v>2</v>
      </c>
      <c r="C12" s="8"/>
      <c r="D12" s="22"/>
      <c r="E12" s="22"/>
    </row>
    <row r="13" spans="1:6" x14ac:dyDescent="0.2">
      <c r="A13" s="8" t="s">
        <v>3</v>
      </c>
      <c r="B13" s="8" t="s">
        <v>4</v>
      </c>
      <c r="C13" s="8"/>
      <c r="D13" s="22"/>
      <c r="E13" s="22"/>
    </row>
    <row r="14" spans="1:6" x14ac:dyDescent="0.2">
      <c r="A14" s="8" t="s">
        <v>5</v>
      </c>
      <c r="B14" s="8" t="s">
        <v>6</v>
      </c>
      <c r="C14" s="8" t="s">
        <v>7</v>
      </c>
      <c r="D14" s="22">
        <v>1</v>
      </c>
      <c r="E14" s="22">
        <v>1</v>
      </c>
    </row>
    <row r="15" spans="1:6" x14ac:dyDescent="0.2">
      <c r="A15" s="8" t="s">
        <v>8</v>
      </c>
      <c r="B15" s="8" t="s">
        <v>6</v>
      </c>
      <c r="C15" s="8" t="s">
        <v>9</v>
      </c>
      <c r="D15" s="22">
        <v>0.67</v>
      </c>
      <c r="E15" s="22">
        <v>0.67</v>
      </c>
    </row>
    <row r="16" spans="1:6" x14ac:dyDescent="0.2">
      <c r="A16" s="8" t="s">
        <v>146</v>
      </c>
      <c r="B16" s="8" t="s">
        <v>155</v>
      </c>
      <c r="C16" s="8" t="s">
        <v>161</v>
      </c>
      <c r="D16" s="22">
        <v>1</v>
      </c>
      <c r="E16" s="22">
        <v>1</v>
      </c>
    </row>
    <row r="17" spans="1:5" x14ac:dyDescent="0.2">
      <c r="A17" s="8" t="s">
        <v>160</v>
      </c>
      <c r="B17" s="8"/>
      <c r="C17" s="8"/>
      <c r="D17" s="22"/>
      <c r="E17" s="22"/>
    </row>
    <row r="18" spans="1:5" x14ac:dyDescent="0.2">
      <c r="A18" s="8" t="s">
        <v>14</v>
      </c>
      <c r="B18" s="8" t="s">
        <v>155</v>
      </c>
      <c r="C18" s="8" t="s">
        <v>96</v>
      </c>
      <c r="D18" s="22">
        <v>0.25</v>
      </c>
      <c r="E18" s="22">
        <v>0.25</v>
      </c>
    </row>
    <row r="19" spans="1:5" x14ac:dyDescent="0.2">
      <c r="A19" s="8" t="s">
        <v>159</v>
      </c>
      <c r="B19" s="8" t="s">
        <v>155</v>
      </c>
      <c r="C19" s="8" t="s">
        <v>158</v>
      </c>
      <c r="D19" s="22">
        <v>1</v>
      </c>
      <c r="E19" s="22">
        <v>1</v>
      </c>
    </row>
    <row r="20" spans="1:5" x14ac:dyDescent="0.2">
      <c r="A20" s="8" t="s">
        <v>157</v>
      </c>
      <c r="B20" s="8" t="s">
        <v>155</v>
      </c>
      <c r="C20" s="8" t="s">
        <v>96</v>
      </c>
      <c r="D20" s="22">
        <v>1.5</v>
      </c>
      <c r="E20" s="22">
        <v>1.5</v>
      </c>
    </row>
    <row r="21" spans="1:5" x14ac:dyDescent="0.2">
      <c r="A21" s="8" t="s">
        <v>156</v>
      </c>
      <c r="B21" s="8" t="s">
        <v>155</v>
      </c>
      <c r="C21" s="8" t="s">
        <v>19</v>
      </c>
      <c r="D21" s="22">
        <v>4</v>
      </c>
      <c r="E21" s="22">
        <v>4</v>
      </c>
    </row>
    <row r="22" spans="1:5" x14ac:dyDescent="0.2">
      <c r="A22" s="8" t="s">
        <v>104</v>
      </c>
      <c r="B22" s="8" t="s">
        <v>154</v>
      </c>
      <c r="C22" s="8" t="s">
        <v>153</v>
      </c>
      <c r="D22" s="22">
        <v>12</v>
      </c>
      <c r="E22" s="22">
        <v>1.5</v>
      </c>
    </row>
    <row r="23" spans="1:5" x14ac:dyDescent="0.2">
      <c r="A23" s="8" t="s">
        <v>152</v>
      </c>
      <c r="B23" s="8"/>
      <c r="C23" s="8"/>
      <c r="D23" s="22"/>
      <c r="E23" s="22"/>
    </row>
    <row r="24" spans="1:5" x14ac:dyDescent="0.2">
      <c r="A24" s="8" t="s">
        <v>151</v>
      </c>
      <c r="B24" s="8" t="s">
        <v>150</v>
      </c>
      <c r="C24" s="8" t="s">
        <v>149</v>
      </c>
      <c r="D24" s="22">
        <v>20</v>
      </c>
      <c r="E24" s="22">
        <v>20</v>
      </c>
    </row>
    <row r="25" spans="1:5" x14ac:dyDescent="0.2">
      <c r="A25" s="8" t="s">
        <v>17</v>
      </c>
      <c r="B25" s="8" t="s">
        <v>148</v>
      </c>
      <c r="C25" s="8" t="s">
        <v>147</v>
      </c>
      <c r="D25" s="22">
        <v>2</v>
      </c>
      <c r="E25" s="22">
        <v>2</v>
      </c>
    </row>
    <row r="26" spans="1:5" x14ac:dyDescent="0.2">
      <c r="A26" s="23" t="s">
        <v>20</v>
      </c>
      <c r="B26" s="23" t="s">
        <v>6</v>
      </c>
      <c r="C26" s="23" t="s">
        <v>9</v>
      </c>
      <c r="D26" s="24">
        <v>0.33</v>
      </c>
      <c r="E26" s="24">
        <v>0.33</v>
      </c>
    </row>
    <row r="27" spans="1:5" x14ac:dyDescent="0.2">
      <c r="A27" s="25" t="s">
        <v>69</v>
      </c>
      <c r="B27" s="25"/>
      <c r="C27" s="25"/>
      <c r="D27" s="26">
        <f>SUM(D11:D26)</f>
        <v>43.75</v>
      </c>
      <c r="E27" s="26">
        <f>SUM(E11:E26)</f>
        <v>33.5</v>
      </c>
    </row>
    <row r="28" spans="1:5" x14ac:dyDescent="0.2">
      <c r="A28" s="8"/>
      <c r="B28" s="8"/>
      <c r="C28" s="8"/>
      <c r="D28" s="8"/>
      <c r="E28" s="8"/>
    </row>
    <row r="29" spans="1:5" x14ac:dyDescent="0.2">
      <c r="A29" s="8"/>
      <c r="B29" s="8"/>
      <c r="C29" s="8"/>
      <c r="D29" s="8"/>
      <c r="E29" s="8"/>
    </row>
    <row r="30" spans="1:5" x14ac:dyDescent="0.2">
      <c r="A30" s="9" t="s">
        <v>77</v>
      </c>
      <c r="B30" s="8"/>
      <c r="C30" s="8"/>
      <c r="D30" s="10"/>
      <c r="E30" s="10"/>
    </row>
    <row r="31" spans="1:5" x14ac:dyDescent="0.2">
      <c r="A31" s="11" t="s">
        <v>21</v>
      </c>
      <c r="B31" s="12" t="s">
        <v>22</v>
      </c>
      <c r="C31" s="12" t="s">
        <v>74</v>
      </c>
      <c r="D31" s="14" t="s">
        <v>58</v>
      </c>
      <c r="E31" s="15" t="s">
        <v>58</v>
      </c>
    </row>
    <row r="32" spans="1:5" x14ac:dyDescent="0.2">
      <c r="A32" s="16"/>
      <c r="B32" s="17"/>
      <c r="C32" s="17"/>
      <c r="D32" s="18" t="s">
        <v>60</v>
      </c>
      <c r="E32" s="19" t="s">
        <v>59</v>
      </c>
    </row>
    <row r="33" spans="1:5" x14ac:dyDescent="0.2">
      <c r="A33" s="8" t="s">
        <v>23</v>
      </c>
      <c r="B33" s="27">
        <v>0.25</v>
      </c>
      <c r="C33" s="8" t="s">
        <v>62</v>
      </c>
      <c r="D33" s="28">
        <v>16</v>
      </c>
      <c r="E33" s="29">
        <f t="shared" ref="E33:E43" si="0">B33*D33</f>
        <v>4</v>
      </c>
    </row>
    <row r="34" spans="1:5" x14ac:dyDescent="0.2">
      <c r="A34" s="8" t="s">
        <v>5</v>
      </c>
      <c r="B34" s="27">
        <v>1</v>
      </c>
      <c r="C34" s="8" t="s">
        <v>62</v>
      </c>
      <c r="D34" s="30">
        <v>16</v>
      </c>
      <c r="E34" s="31">
        <f t="shared" si="0"/>
        <v>16</v>
      </c>
    </row>
    <row r="35" spans="1:5" x14ac:dyDescent="0.2">
      <c r="A35" s="8" t="s">
        <v>24</v>
      </c>
      <c r="B35" s="27">
        <v>0.67</v>
      </c>
      <c r="C35" s="8" t="s">
        <v>62</v>
      </c>
      <c r="D35" s="30">
        <v>16</v>
      </c>
      <c r="E35" s="31">
        <f t="shared" si="0"/>
        <v>10.72</v>
      </c>
    </row>
    <row r="36" spans="1:5" x14ac:dyDescent="0.2">
      <c r="A36" s="8" t="s">
        <v>146</v>
      </c>
      <c r="B36" s="27">
        <v>1</v>
      </c>
      <c r="C36" s="8" t="s">
        <v>62</v>
      </c>
      <c r="D36" s="30">
        <v>16</v>
      </c>
      <c r="E36" s="31">
        <f t="shared" si="0"/>
        <v>16</v>
      </c>
    </row>
    <row r="37" spans="1:5" x14ac:dyDescent="0.2">
      <c r="A37" s="8" t="s">
        <v>26</v>
      </c>
      <c r="B37" s="27">
        <v>0.25</v>
      </c>
      <c r="C37" s="8" t="s">
        <v>62</v>
      </c>
      <c r="D37" s="30">
        <v>16</v>
      </c>
      <c r="E37" s="31">
        <f t="shared" si="0"/>
        <v>4</v>
      </c>
    </row>
    <row r="38" spans="1:5" x14ac:dyDescent="0.2">
      <c r="A38" s="8" t="s">
        <v>145</v>
      </c>
      <c r="B38" s="27">
        <v>1</v>
      </c>
      <c r="C38" s="8" t="s">
        <v>62</v>
      </c>
      <c r="D38" s="30">
        <v>16</v>
      </c>
      <c r="E38" s="31">
        <f t="shared" si="0"/>
        <v>16</v>
      </c>
    </row>
    <row r="39" spans="1:5" x14ac:dyDescent="0.2">
      <c r="A39" s="8" t="s">
        <v>144</v>
      </c>
      <c r="B39" s="27">
        <v>1.5</v>
      </c>
      <c r="C39" s="8" t="s">
        <v>62</v>
      </c>
      <c r="D39" s="30">
        <v>16</v>
      </c>
      <c r="E39" s="31">
        <f t="shared" si="0"/>
        <v>24</v>
      </c>
    </row>
    <row r="40" spans="1:5" x14ac:dyDescent="0.2">
      <c r="A40" s="8" t="s">
        <v>143</v>
      </c>
      <c r="B40" s="27">
        <v>4</v>
      </c>
      <c r="C40" s="8" t="s">
        <v>63</v>
      </c>
      <c r="D40" s="30">
        <v>9</v>
      </c>
      <c r="E40" s="31">
        <f t="shared" si="0"/>
        <v>36</v>
      </c>
    </row>
    <row r="41" spans="1:5" x14ac:dyDescent="0.2">
      <c r="A41" s="8" t="s">
        <v>142</v>
      </c>
      <c r="B41" s="27">
        <v>1.5</v>
      </c>
      <c r="C41" s="8" t="s">
        <v>62</v>
      </c>
      <c r="D41" s="30">
        <v>16</v>
      </c>
      <c r="E41" s="31">
        <f t="shared" si="0"/>
        <v>24</v>
      </c>
    </row>
    <row r="42" spans="1:5" x14ac:dyDescent="0.2">
      <c r="A42" s="8" t="s">
        <v>27</v>
      </c>
      <c r="B42" s="27">
        <v>20</v>
      </c>
      <c r="C42" s="8" t="s">
        <v>63</v>
      </c>
      <c r="D42" s="30">
        <v>9</v>
      </c>
      <c r="E42" s="31">
        <f t="shared" si="0"/>
        <v>180</v>
      </c>
    </row>
    <row r="43" spans="1:5" x14ac:dyDescent="0.2">
      <c r="A43" s="8" t="s">
        <v>28</v>
      </c>
      <c r="B43" s="27">
        <v>2</v>
      </c>
      <c r="C43" s="8" t="s">
        <v>62</v>
      </c>
      <c r="D43" s="30">
        <v>16</v>
      </c>
      <c r="E43" s="31">
        <f t="shared" si="0"/>
        <v>32</v>
      </c>
    </row>
    <row r="44" spans="1:5" x14ac:dyDescent="0.2">
      <c r="A44" s="8"/>
      <c r="B44" s="27"/>
      <c r="C44" s="8"/>
      <c r="D44" s="30"/>
      <c r="E44" s="31"/>
    </row>
    <row r="45" spans="1:5" x14ac:dyDescent="0.2">
      <c r="A45" s="8" t="s">
        <v>66</v>
      </c>
      <c r="B45" s="53">
        <v>9.17</v>
      </c>
      <c r="C45" s="8"/>
      <c r="D45" s="29">
        <v>16</v>
      </c>
      <c r="E45" s="29">
        <f>D45*B45</f>
        <v>146.72</v>
      </c>
    </row>
    <row r="46" spans="1:5" x14ac:dyDescent="0.2">
      <c r="A46" s="8" t="s">
        <v>67</v>
      </c>
      <c r="B46" s="27">
        <v>24</v>
      </c>
      <c r="C46" s="8"/>
      <c r="D46" s="28">
        <v>9</v>
      </c>
      <c r="E46" s="29">
        <f>D46*B46</f>
        <v>216</v>
      </c>
    </row>
    <row r="47" spans="1:5" x14ac:dyDescent="0.2">
      <c r="A47" s="23" t="s">
        <v>65</v>
      </c>
      <c r="B47" s="23"/>
      <c r="C47" s="23"/>
      <c r="D47" s="23"/>
      <c r="E47" s="43">
        <f>E45+E46</f>
        <v>362.72</v>
      </c>
    </row>
    <row r="48" spans="1:5" x14ac:dyDescent="0.2">
      <c r="A48" s="8"/>
      <c r="B48" s="8"/>
      <c r="C48" s="8"/>
      <c r="D48" s="8"/>
      <c r="E48" s="8"/>
    </row>
    <row r="49" spans="1:5" x14ac:dyDescent="0.2">
      <c r="A49" s="8"/>
      <c r="B49" s="8"/>
      <c r="C49" s="8"/>
      <c r="D49" s="8"/>
      <c r="E49" s="8"/>
    </row>
    <row r="50" spans="1:5" x14ac:dyDescent="0.2">
      <c r="A50" s="8"/>
      <c r="B50" s="8"/>
      <c r="C50" s="8"/>
      <c r="D50" s="8"/>
      <c r="E50" s="8"/>
    </row>
    <row r="51" spans="1:5" x14ac:dyDescent="0.2">
      <c r="A51" s="8"/>
      <c r="B51" s="8"/>
      <c r="C51" s="8"/>
      <c r="D51" s="8"/>
      <c r="E51" s="8"/>
    </row>
    <row r="52" spans="1:5" x14ac:dyDescent="0.2">
      <c r="A52" s="8"/>
      <c r="B52" s="8"/>
      <c r="C52" s="8"/>
      <c r="D52" s="8"/>
      <c r="E52" s="8"/>
    </row>
    <row r="53" spans="1:5" x14ac:dyDescent="0.2">
      <c r="A53" s="9" t="s">
        <v>78</v>
      </c>
      <c r="B53" s="8"/>
      <c r="C53" s="8"/>
      <c r="D53" s="10"/>
      <c r="E53" s="10"/>
    </row>
    <row r="54" spans="1:5" x14ac:dyDescent="0.2">
      <c r="A54" s="11" t="s">
        <v>29</v>
      </c>
      <c r="B54" s="12" t="s">
        <v>30</v>
      </c>
      <c r="C54" s="14" t="s">
        <v>31</v>
      </c>
      <c r="D54" s="14" t="s">
        <v>32</v>
      </c>
      <c r="E54" s="15" t="s">
        <v>68</v>
      </c>
    </row>
    <row r="55" spans="1:5" x14ac:dyDescent="0.2">
      <c r="A55" s="44"/>
      <c r="B55" s="45"/>
      <c r="C55" s="45"/>
      <c r="D55" s="18"/>
      <c r="E55" s="19" t="s">
        <v>70</v>
      </c>
    </row>
    <row r="56" spans="1:5" x14ac:dyDescent="0.2">
      <c r="A56" s="8" t="s">
        <v>33</v>
      </c>
      <c r="B56" s="8"/>
      <c r="C56" s="30">
        <v>1</v>
      </c>
      <c r="D56" s="28">
        <v>12</v>
      </c>
      <c r="E56" s="28">
        <f>C56*D56</f>
        <v>12</v>
      </c>
    </row>
    <row r="57" spans="1:5" x14ac:dyDescent="0.2">
      <c r="A57" s="8" t="s">
        <v>34</v>
      </c>
      <c r="B57" s="8" t="s">
        <v>71</v>
      </c>
      <c r="C57" s="30">
        <v>0.75</v>
      </c>
      <c r="D57" s="30">
        <v>36</v>
      </c>
      <c r="E57" s="30">
        <f>C57*D57</f>
        <v>27</v>
      </c>
    </row>
    <row r="58" spans="1:5" x14ac:dyDescent="0.2">
      <c r="A58" s="8" t="s">
        <v>35</v>
      </c>
      <c r="B58" s="8"/>
      <c r="C58" s="30"/>
      <c r="D58" s="30">
        <v>12</v>
      </c>
      <c r="E58" s="30">
        <v>12</v>
      </c>
    </row>
    <row r="59" spans="1:5" x14ac:dyDescent="0.2">
      <c r="A59" s="8" t="s">
        <v>141</v>
      </c>
      <c r="B59" s="8" t="s">
        <v>140</v>
      </c>
      <c r="C59" s="30">
        <v>8</v>
      </c>
      <c r="D59" s="30">
        <v>6</v>
      </c>
      <c r="E59" s="30">
        <f>C59*D59</f>
        <v>48</v>
      </c>
    </row>
    <row r="60" spans="1:5" x14ac:dyDescent="0.2">
      <c r="A60" s="8" t="s">
        <v>36</v>
      </c>
      <c r="B60" s="8"/>
      <c r="C60" s="30">
        <v>1</v>
      </c>
      <c r="D60" s="30" t="s">
        <v>105</v>
      </c>
      <c r="E60" s="30">
        <v>61</v>
      </c>
    </row>
    <row r="61" spans="1:5" x14ac:dyDescent="0.2">
      <c r="A61" s="8" t="s">
        <v>37</v>
      </c>
      <c r="B61" s="8"/>
      <c r="C61" s="30"/>
      <c r="D61" s="30"/>
      <c r="E61" s="30"/>
    </row>
    <row r="62" spans="1:5" x14ac:dyDescent="0.2">
      <c r="A62" s="8" t="s">
        <v>139</v>
      </c>
      <c r="B62" s="8" t="s">
        <v>72</v>
      </c>
      <c r="C62" s="30">
        <v>0.25</v>
      </c>
      <c r="D62" s="30">
        <v>12.5</v>
      </c>
      <c r="E62" s="30">
        <f>C62*D62</f>
        <v>3.125</v>
      </c>
    </row>
    <row r="63" spans="1:5" x14ac:dyDescent="0.2">
      <c r="A63" s="8" t="s">
        <v>138</v>
      </c>
      <c r="B63" s="8" t="s">
        <v>72</v>
      </c>
      <c r="C63" s="30">
        <v>0.17</v>
      </c>
      <c r="D63" s="30">
        <v>102</v>
      </c>
      <c r="E63" s="30">
        <f>C63*D63</f>
        <v>17.34</v>
      </c>
    </row>
    <row r="64" spans="1:5" x14ac:dyDescent="0.2">
      <c r="A64" s="8" t="s">
        <v>137</v>
      </c>
      <c r="B64" s="8" t="s">
        <v>72</v>
      </c>
      <c r="C64" s="30">
        <v>6.25E-2</v>
      </c>
      <c r="D64" s="30">
        <v>110.75</v>
      </c>
      <c r="E64" s="30">
        <f>C64*D64</f>
        <v>6.921875</v>
      </c>
    </row>
    <row r="65" spans="1:6" x14ac:dyDescent="0.2">
      <c r="A65" s="8" t="s">
        <v>136</v>
      </c>
      <c r="B65" s="8" t="s">
        <v>72</v>
      </c>
      <c r="C65" s="30">
        <v>0.63</v>
      </c>
      <c r="D65" s="30">
        <v>47.7</v>
      </c>
      <c r="E65" s="30">
        <f>C65*D65</f>
        <v>30.051000000000002</v>
      </c>
    </row>
    <row r="66" spans="1:6" x14ac:dyDescent="0.2">
      <c r="A66" s="8" t="s">
        <v>135</v>
      </c>
      <c r="B66" s="8" t="s">
        <v>106</v>
      </c>
      <c r="C66" s="30">
        <v>200</v>
      </c>
      <c r="D66" s="30">
        <v>0.3</v>
      </c>
      <c r="E66" s="30">
        <f>C66*D66</f>
        <v>60</v>
      </c>
    </row>
    <row r="67" spans="1:6" x14ac:dyDescent="0.2">
      <c r="A67" s="25" t="s">
        <v>40</v>
      </c>
      <c r="B67" s="25"/>
      <c r="C67" s="25"/>
      <c r="D67" s="25"/>
      <c r="E67" s="46">
        <f>SUM(E56:E66)</f>
        <v>277.43787500000002</v>
      </c>
    </row>
    <row r="68" spans="1:6" x14ac:dyDescent="0.2">
      <c r="A68" s="8"/>
      <c r="B68" s="8"/>
      <c r="C68" s="8"/>
      <c r="D68" s="8"/>
      <c r="E68" s="8"/>
    </row>
    <row r="69" spans="1:6" x14ac:dyDescent="0.2">
      <c r="A69" s="8"/>
      <c r="B69" s="8"/>
      <c r="C69" s="8"/>
      <c r="D69" s="8"/>
      <c r="E69" s="8"/>
    </row>
    <row r="70" spans="1:6" x14ac:dyDescent="0.2">
      <c r="A70" s="9" t="s">
        <v>75</v>
      </c>
      <c r="B70" s="8"/>
      <c r="C70" s="8"/>
      <c r="D70" s="8"/>
      <c r="E70" s="8"/>
    </row>
    <row r="71" spans="1:6" x14ac:dyDescent="0.2">
      <c r="A71" s="11" t="s">
        <v>41</v>
      </c>
      <c r="B71" s="12" t="s">
        <v>79</v>
      </c>
      <c r="C71" s="13" t="s">
        <v>91</v>
      </c>
      <c r="D71" s="13"/>
      <c r="E71" s="13" t="s">
        <v>43</v>
      </c>
      <c r="F71" s="6"/>
    </row>
    <row r="72" spans="1:6" x14ac:dyDescent="0.2">
      <c r="A72" s="47"/>
      <c r="B72" s="45" t="s">
        <v>42</v>
      </c>
      <c r="C72" s="48" t="s">
        <v>89</v>
      </c>
      <c r="D72" s="48" t="s">
        <v>90</v>
      </c>
      <c r="E72" s="48" t="s">
        <v>89</v>
      </c>
      <c r="F72" s="7" t="s">
        <v>90</v>
      </c>
    </row>
    <row r="73" spans="1:6" x14ac:dyDescent="0.2">
      <c r="A73" s="8" t="s">
        <v>44</v>
      </c>
      <c r="B73" s="49">
        <v>2</v>
      </c>
      <c r="C73" s="28">
        <v>4.5</v>
      </c>
      <c r="D73" s="28">
        <f t="shared" ref="D73:D80" si="1">B73*C73</f>
        <v>9</v>
      </c>
      <c r="E73" s="28">
        <v>12</v>
      </c>
      <c r="F73" s="4">
        <f>E73*B73</f>
        <v>24</v>
      </c>
    </row>
    <row r="74" spans="1:6" x14ac:dyDescent="0.2">
      <c r="A74" s="8" t="s">
        <v>45</v>
      </c>
      <c r="B74" s="49">
        <v>19.8</v>
      </c>
      <c r="C74" s="30">
        <v>3</v>
      </c>
      <c r="D74" s="30">
        <f t="shared" si="1"/>
        <v>59.400000000000006</v>
      </c>
      <c r="E74" s="30">
        <v>3.35</v>
      </c>
      <c r="F74" s="5">
        <f t="shared" ref="F74:F80" si="2">B74*E74</f>
        <v>66.33</v>
      </c>
    </row>
    <row r="75" spans="1:6" x14ac:dyDescent="0.2">
      <c r="A75" s="8" t="s">
        <v>46</v>
      </c>
      <c r="B75" s="49">
        <v>1</v>
      </c>
      <c r="C75" s="30">
        <v>2</v>
      </c>
      <c r="D75" s="30">
        <f t="shared" si="1"/>
        <v>2</v>
      </c>
      <c r="E75" s="30">
        <v>8</v>
      </c>
      <c r="F75" s="5">
        <f t="shared" si="2"/>
        <v>8</v>
      </c>
    </row>
    <row r="76" spans="1:6" x14ac:dyDescent="0.2">
      <c r="A76" s="8" t="s">
        <v>47</v>
      </c>
      <c r="B76" s="49">
        <v>1</v>
      </c>
      <c r="C76" s="30">
        <v>1.1499999999999999</v>
      </c>
      <c r="D76" s="30">
        <f t="shared" si="1"/>
        <v>1.1499999999999999</v>
      </c>
      <c r="E76" s="30">
        <v>15</v>
      </c>
      <c r="F76" s="5">
        <f t="shared" si="2"/>
        <v>15</v>
      </c>
    </row>
    <row r="77" spans="1:6" x14ac:dyDescent="0.2">
      <c r="A77" s="8" t="s">
        <v>48</v>
      </c>
      <c r="B77" s="49">
        <v>1.75</v>
      </c>
      <c r="C77" s="30">
        <v>1.5</v>
      </c>
      <c r="D77" s="30">
        <f t="shared" si="1"/>
        <v>2.625</v>
      </c>
      <c r="E77" s="30">
        <v>5.25</v>
      </c>
      <c r="F77" s="5">
        <f t="shared" si="2"/>
        <v>9.1875</v>
      </c>
    </row>
    <row r="78" spans="1:6" x14ac:dyDescent="0.2">
      <c r="A78" s="8" t="s">
        <v>49</v>
      </c>
      <c r="B78" s="49">
        <v>1</v>
      </c>
      <c r="C78" s="30">
        <v>1</v>
      </c>
      <c r="D78" s="30">
        <f t="shared" si="1"/>
        <v>1</v>
      </c>
      <c r="E78" s="30">
        <v>1.25</v>
      </c>
      <c r="F78" s="5">
        <f t="shared" si="2"/>
        <v>1.25</v>
      </c>
    </row>
    <row r="79" spans="1:6" x14ac:dyDescent="0.2">
      <c r="A79" s="8" t="s">
        <v>50</v>
      </c>
      <c r="B79" s="49">
        <v>22</v>
      </c>
      <c r="C79" s="30">
        <v>0.25</v>
      </c>
      <c r="D79" s="30">
        <f t="shared" si="1"/>
        <v>5.5</v>
      </c>
      <c r="E79" s="30">
        <v>1</v>
      </c>
      <c r="F79" s="5">
        <f t="shared" si="2"/>
        <v>22</v>
      </c>
    </row>
    <row r="80" spans="1:6" x14ac:dyDescent="0.2">
      <c r="A80" s="23" t="s">
        <v>134</v>
      </c>
      <c r="B80" s="80">
        <v>10</v>
      </c>
      <c r="C80" s="79">
        <v>2</v>
      </c>
      <c r="D80" s="79">
        <f t="shared" si="1"/>
        <v>20</v>
      </c>
      <c r="E80" s="79">
        <v>3</v>
      </c>
      <c r="F80" s="78">
        <f t="shared" si="2"/>
        <v>30</v>
      </c>
    </row>
    <row r="81" spans="1:6" x14ac:dyDescent="0.2">
      <c r="A81" s="8" t="s">
        <v>40</v>
      </c>
      <c r="B81" s="8"/>
      <c r="C81" s="8"/>
      <c r="D81" s="29">
        <f>SUM(D73:D80)</f>
        <v>100.67500000000001</v>
      </c>
      <c r="E81" s="8"/>
      <c r="F81" s="1">
        <f>SUM(F73:F80)</f>
        <v>175.76749999999998</v>
      </c>
    </row>
    <row r="82" spans="1:6" x14ac:dyDescent="0.2">
      <c r="A82" s="23" t="s">
        <v>51</v>
      </c>
      <c r="B82" s="23"/>
      <c r="C82" s="23"/>
      <c r="D82" s="23"/>
      <c r="E82" s="23"/>
      <c r="F82" s="3">
        <f>D81+F81</f>
        <v>276.4425</v>
      </c>
    </row>
    <row r="83" spans="1:6" x14ac:dyDescent="0.2">
      <c r="A83" s="8"/>
      <c r="B83" s="8"/>
      <c r="C83" s="8"/>
      <c r="D83" s="8"/>
      <c r="E83" s="8"/>
    </row>
    <row r="84" spans="1:6" x14ac:dyDescent="0.2">
      <c r="A84" s="8"/>
      <c r="B84" s="8"/>
      <c r="C84" s="8"/>
      <c r="D84" s="8"/>
      <c r="E84" s="8"/>
    </row>
    <row r="85" spans="1:6" x14ac:dyDescent="0.2">
      <c r="A85" s="9" t="s">
        <v>80</v>
      </c>
      <c r="B85" s="8"/>
      <c r="C85" s="8"/>
      <c r="D85" s="8"/>
      <c r="E85" s="8"/>
    </row>
    <row r="86" spans="1:6" x14ac:dyDescent="0.2">
      <c r="A86" s="77" t="str">
        <f>B4</f>
        <v>Sweet Corn - 1 Acre</v>
      </c>
      <c r="B86" s="25"/>
      <c r="C86" s="52" t="s">
        <v>42</v>
      </c>
      <c r="D86" s="8"/>
      <c r="E86" s="8"/>
    </row>
    <row r="87" spans="1:6" x14ac:dyDescent="0.2">
      <c r="A87" s="8" t="s">
        <v>133</v>
      </c>
      <c r="B87" s="53">
        <f>B45</f>
        <v>9.17</v>
      </c>
      <c r="C87" s="29">
        <f>E45</f>
        <v>146.72</v>
      </c>
      <c r="D87" s="8"/>
      <c r="E87" s="8"/>
    </row>
    <row r="88" spans="1:6" x14ac:dyDescent="0.2">
      <c r="A88" s="8" t="s">
        <v>132</v>
      </c>
      <c r="B88" s="27">
        <f>B46</f>
        <v>24</v>
      </c>
      <c r="C88" s="31">
        <f>E46</f>
        <v>216</v>
      </c>
      <c r="D88" s="8"/>
      <c r="E88" s="8"/>
    </row>
    <row r="89" spans="1:6" x14ac:dyDescent="0.2">
      <c r="A89" s="53" t="s">
        <v>83</v>
      </c>
      <c r="B89" s="8"/>
      <c r="C89" s="31">
        <f>E67</f>
        <v>277.43787500000002</v>
      </c>
      <c r="D89" s="8"/>
      <c r="E89" s="8"/>
    </row>
    <row r="90" spans="1:6" x14ac:dyDescent="0.2">
      <c r="A90" s="8" t="s">
        <v>52</v>
      </c>
      <c r="B90" s="8"/>
      <c r="C90" s="31">
        <f>D81</f>
        <v>100.67500000000001</v>
      </c>
      <c r="D90" s="8"/>
      <c r="E90" s="76"/>
    </row>
    <row r="91" spans="1:6" x14ac:dyDescent="0.2">
      <c r="A91" s="23" t="s">
        <v>84</v>
      </c>
      <c r="B91" s="23"/>
      <c r="C91" s="54">
        <f>F81</f>
        <v>175.76749999999998</v>
      </c>
      <c r="D91" s="8"/>
      <c r="E91" s="8"/>
    </row>
    <row r="92" spans="1:6" x14ac:dyDescent="0.2">
      <c r="A92" s="25" t="s">
        <v>53</v>
      </c>
      <c r="B92" s="25"/>
      <c r="C92" s="55">
        <f>SUM(C87:C91)</f>
        <v>916.60037499999999</v>
      </c>
      <c r="D92" s="8"/>
      <c r="E92" s="8"/>
    </row>
    <row r="93" spans="1:6" x14ac:dyDescent="0.2">
      <c r="A93" s="8" t="s">
        <v>82</v>
      </c>
      <c r="B93" s="8"/>
      <c r="C93" s="8"/>
      <c r="D93" s="8"/>
      <c r="E93" s="8"/>
    </row>
    <row r="94" spans="1:6" x14ac:dyDescent="0.2">
      <c r="A94" s="8"/>
      <c r="B94" s="8"/>
      <c r="C94" s="8"/>
      <c r="D94" s="75"/>
      <c r="E94" s="8"/>
    </row>
    <row r="95" spans="1:6" x14ac:dyDescent="0.2">
      <c r="A95" s="8"/>
      <c r="B95" s="8"/>
      <c r="C95" s="8"/>
      <c r="D95" s="10"/>
      <c r="E95" s="10"/>
    </row>
    <row r="96" spans="1:6" x14ac:dyDescent="0.2">
      <c r="A96" s="9" t="s">
        <v>81</v>
      </c>
      <c r="B96" s="10"/>
      <c r="C96" s="10"/>
      <c r="D96" s="10"/>
      <c r="E96" s="10"/>
    </row>
    <row r="97" spans="1:5" x14ac:dyDescent="0.2">
      <c r="A97" s="72" t="s">
        <v>85</v>
      </c>
      <c r="B97" s="56"/>
      <c r="C97" s="56" t="s">
        <v>130</v>
      </c>
      <c r="D97" s="56"/>
      <c r="E97" s="57"/>
    </row>
    <row r="98" spans="1:5" x14ac:dyDescent="0.2">
      <c r="A98" s="71" t="s">
        <v>131</v>
      </c>
      <c r="B98" s="29">
        <v>6</v>
      </c>
      <c r="C98" s="29">
        <v>8</v>
      </c>
      <c r="D98" s="29">
        <v>10</v>
      </c>
      <c r="E98" s="29">
        <v>12</v>
      </c>
    </row>
    <row r="99" spans="1:5" x14ac:dyDescent="0.2">
      <c r="A99" s="8">
        <v>150</v>
      </c>
      <c r="B99" s="70">
        <f>A99*B98</f>
        <v>900</v>
      </c>
      <c r="C99" s="70">
        <f>C98*A99</f>
        <v>1200</v>
      </c>
      <c r="D99" s="70">
        <f>D98*A99</f>
        <v>1500</v>
      </c>
      <c r="E99" s="70">
        <f>E98*A99</f>
        <v>1800</v>
      </c>
    </row>
    <row r="100" spans="1:5" x14ac:dyDescent="0.2">
      <c r="A100" s="58">
        <v>175</v>
      </c>
      <c r="B100" s="70">
        <f>A100*B98</f>
        <v>1050</v>
      </c>
      <c r="C100" s="70">
        <f>C98*A100</f>
        <v>1400</v>
      </c>
      <c r="D100" s="70">
        <f>D98*A100</f>
        <v>1750</v>
      </c>
      <c r="E100" s="70">
        <f>E98*A100</f>
        <v>2100</v>
      </c>
    </row>
    <row r="101" spans="1:5" x14ac:dyDescent="0.2">
      <c r="A101" s="58">
        <v>200</v>
      </c>
      <c r="B101" s="74">
        <f>A101*B98</f>
        <v>1200</v>
      </c>
      <c r="C101" s="74">
        <f>C98*A101</f>
        <v>1600</v>
      </c>
      <c r="D101" s="74">
        <f>D98*A101</f>
        <v>2000</v>
      </c>
      <c r="E101" s="74">
        <f>E98*A101</f>
        <v>2400</v>
      </c>
    </row>
    <row r="102" spans="1:5" x14ac:dyDescent="0.2">
      <c r="A102" s="8">
        <v>225</v>
      </c>
      <c r="B102" s="70">
        <f>A102*B98</f>
        <v>1350</v>
      </c>
      <c r="C102" s="70">
        <f>A102*C98</f>
        <v>1800</v>
      </c>
      <c r="D102" s="70">
        <f>A102*D98</f>
        <v>2250</v>
      </c>
      <c r="E102" s="70">
        <f>A102*E98</f>
        <v>2700</v>
      </c>
    </row>
    <row r="103" spans="1:5" x14ac:dyDescent="0.2">
      <c r="A103" s="23">
        <v>250</v>
      </c>
      <c r="B103" s="73">
        <v>1500</v>
      </c>
      <c r="C103" s="73">
        <f>A103*C98</f>
        <v>2000</v>
      </c>
      <c r="D103" s="73">
        <f>A103*D98</f>
        <v>2500</v>
      </c>
      <c r="E103" s="70">
        <f>A103*E98</f>
        <v>3000</v>
      </c>
    </row>
    <row r="104" spans="1:5" x14ac:dyDescent="0.2">
      <c r="A104" s="8"/>
      <c r="B104" s="29"/>
      <c r="C104" s="29"/>
      <c r="D104" s="29"/>
      <c r="E104" s="29"/>
    </row>
    <row r="105" spans="1:5" x14ac:dyDescent="0.2">
      <c r="A105" s="9" t="s">
        <v>86</v>
      </c>
      <c r="B105" s="8"/>
      <c r="C105" s="8"/>
      <c r="D105" s="8"/>
      <c r="E105" s="8"/>
    </row>
    <row r="106" spans="1:5" x14ac:dyDescent="0.2">
      <c r="A106" s="72" t="s">
        <v>85</v>
      </c>
      <c r="B106" s="56"/>
      <c r="C106" s="56" t="s">
        <v>130</v>
      </c>
      <c r="D106" s="56"/>
      <c r="E106" s="57"/>
    </row>
    <row r="107" spans="1:5" x14ac:dyDescent="0.2">
      <c r="A107" s="71" t="s">
        <v>129</v>
      </c>
      <c r="B107" s="29">
        <v>6</v>
      </c>
      <c r="C107" s="29">
        <v>8</v>
      </c>
      <c r="D107" s="29">
        <v>10</v>
      </c>
      <c r="E107" s="29">
        <v>12</v>
      </c>
    </row>
    <row r="108" spans="1:5" x14ac:dyDescent="0.2">
      <c r="A108" s="8">
        <v>150</v>
      </c>
      <c r="B108" s="70">
        <f>B99-C92</f>
        <v>-16.600374999999985</v>
      </c>
      <c r="C108" s="70">
        <f>C99-C92</f>
        <v>283.39962500000001</v>
      </c>
      <c r="D108" s="70">
        <f>D99-C92</f>
        <v>583.39962500000001</v>
      </c>
      <c r="E108" s="70">
        <f>E99-C92</f>
        <v>883.39962500000001</v>
      </c>
    </row>
    <row r="109" spans="1:5" x14ac:dyDescent="0.2">
      <c r="A109" s="58">
        <v>175</v>
      </c>
      <c r="B109" s="68">
        <f>B100-C92</f>
        <v>133.39962500000001</v>
      </c>
      <c r="C109" s="68">
        <f>C100-C92</f>
        <v>483.39962500000001</v>
      </c>
      <c r="D109" s="68">
        <f>D100-C92</f>
        <v>833.39962500000001</v>
      </c>
      <c r="E109" s="68">
        <f>E100-C92</f>
        <v>1183.399625</v>
      </c>
    </row>
    <row r="110" spans="1:5" x14ac:dyDescent="0.2">
      <c r="A110" s="58">
        <v>200</v>
      </c>
      <c r="B110" s="68">
        <f>B101-C92</f>
        <v>283.39962500000001</v>
      </c>
      <c r="C110" s="68">
        <f>C101-C92</f>
        <v>683.39962500000001</v>
      </c>
      <c r="D110" s="68">
        <f>D101-C92</f>
        <v>1083.399625</v>
      </c>
      <c r="E110" s="68">
        <f>E101-C92</f>
        <v>1483.399625</v>
      </c>
    </row>
    <row r="111" spans="1:5" x14ac:dyDescent="0.2">
      <c r="A111" s="58">
        <v>225</v>
      </c>
      <c r="B111" s="68">
        <f>B102-C92</f>
        <v>433.39962500000001</v>
      </c>
      <c r="C111" s="68">
        <f>C102-C92</f>
        <v>883.39962500000001</v>
      </c>
      <c r="D111" s="68">
        <f>D102-C92</f>
        <v>1333.399625</v>
      </c>
      <c r="E111" s="68">
        <f>E102-C92</f>
        <v>1783.399625</v>
      </c>
    </row>
    <row r="112" spans="1:5" x14ac:dyDescent="0.2">
      <c r="A112" s="61">
        <v>250</v>
      </c>
      <c r="B112" s="69">
        <f>B103-C92</f>
        <v>583.39962500000001</v>
      </c>
      <c r="C112" s="69">
        <f>C103-C92</f>
        <v>1083.399625</v>
      </c>
      <c r="D112" s="69">
        <f>D103-C92</f>
        <v>1583.399625</v>
      </c>
      <c r="E112" s="69">
        <f>E103-C92</f>
        <v>2083.399625</v>
      </c>
    </row>
    <row r="113" spans="1:6" x14ac:dyDescent="0.2">
      <c r="A113" s="58"/>
      <c r="B113" s="68"/>
      <c r="C113" s="68"/>
      <c r="D113" s="68"/>
      <c r="E113" s="68"/>
    </row>
    <row r="114" spans="1:6" x14ac:dyDescent="0.2">
      <c r="A114" s="8" t="s">
        <v>87</v>
      </c>
      <c r="B114" s="8" t="s">
        <v>128</v>
      </c>
      <c r="C114" s="58">
        <v>1000</v>
      </c>
      <c r="D114" s="8"/>
      <c r="E114" s="8"/>
    </row>
    <row r="115" spans="1:6" x14ac:dyDescent="0.2">
      <c r="A115" s="8"/>
      <c r="B115" s="8"/>
      <c r="C115" s="8"/>
      <c r="D115" s="8"/>
      <c r="E115" s="8"/>
    </row>
    <row r="116" spans="1:6" ht="41.25" customHeight="1" x14ac:dyDescent="0.2">
      <c r="A116" s="452" t="s">
        <v>127</v>
      </c>
      <c r="B116" s="452"/>
      <c r="C116" s="452"/>
      <c r="D116" s="452"/>
      <c r="E116" s="452"/>
      <c r="F116" s="452"/>
    </row>
    <row r="117" spans="1:6" x14ac:dyDescent="0.2">
      <c r="A117" s="8"/>
      <c r="B117" s="8"/>
      <c r="C117" s="8"/>
      <c r="D117" s="8"/>
      <c r="E117" s="8"/>
    </row>
    <row r="118" spans="1:6" x14ac:dyDescent="0.2">
      <c r="A118" s="8"/>
      <c r="B118" s="8"/>
      <c r="C118" s="8"/>
      <c r="D118" s="8"/>
      <c r="E118" s="8"/>
    </row>
  </sheetData>
  <mergeCells count="3">
    <mergeCell ref="A1:F1"/>
    <mergeCell ref="A2:F2"/>
    <mergeCell ref="A116:F116"/>
  </mergeCells>
  <pageMargins left="0.75" right="0.75" top="1" bottom="1" header="0.5" footer="0.5"/>
  <pageSetup orientation="portrait" horizontalDpi="300" verticalDpi="300" r:id="rId1"/>
  <headerFooter alignWithMargins="0"/>
  <rowBreaks count="4" manualBreakCount="4">
    <brk id="27" max="5" man="1"/>
    <brk id="47" max="5" man="1"/>
    <brk id="67" max="5" man="1"/>
    <brk id="8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08ADF-DF77-4CFA-AF79-DDABA1B11D08}">
  <dimension ref="A1:T113"/>
  <sheetViews>
    <sheetView showGridLines="0" view="pageBreakPreview" topLeftCell="A8" zoomScaleNormal="100" zoomScaleSheetLayoutView="100" workbookViewId="0">
      <selection activeCell="N9" sqref="N9"/>
    </sheetView>
  </sheetViews>
  <sheetFormatPr defaultColWidth="8.7109375" defaultRowHeight="12.75" x14ac:dyDescent="0.2"/>
  <cols>
    <col min="1" max="1" width="2.85546875" style="272" customWidth="1"/>
    <col min="2" max="2" width="2.5703125" style="272" customWidth="1"/>
    <col min="3" max="3" width="8.7109375" style="272"/>
    <col min="4" max="4" width="7" style="272" customWidth="1"/>
    <col min="5" max="5" width="8.5703125" style="272" customWidth="1"/>
    <col min="6" max="9" width="9.42578125" style="272" customWidth="1"/>
    <col min="10" max="10" width="7" style="272" customWidth="1"/>
    <col min="11" max="11" width="8.5703125" style="272" customWidth="1"/>
    <col min="12" max="14" width="8.5703125" style="274" customWidth="1"/>
    <col min="15" max="15" width="8.7109375" style="272" customWidth="1"/>
    <col min="16" max="16384" width="8.7109375" style="272"/>
  </cols>
  <sheetData>
    <row r="1" spans="1:14" ht="15.75" x14ac:dyDescent="0.25">
      <c r="A1" s="271"/>
      <c r="B1" s="271"/>
      <c r="C1" s="271"/>
      <c r="D1" s="271"/>
      <c r="E1" s="271"/>
      <c r="G1" s="273" t="s">
        <v>319</v>
      </c>
    </row>
    <row r="2" spans="1:14" ht="15.75" x14ac:dyDescent="0.25">
      <c r="A2" s="271"/>
      <c r="B2" s="271"/>
      <c r="C2" s="271"/>
      <c r="D2" s="271"/>
      <c r="E2" s="271"/>
      <c r="G2" s="273" t="s">
        <v>320</v>
      </c>
    </row>
    <row r="3" spans="1:14" ht="15.75" customHeight="1" x14ac:dyDescent="0.2">
      <c r="A3" s="271"/>
      <c r="B3" s="271"/>
      <c r="C3" s="271"/>
      <c r="D3" s="271"/>
      <c r="E3" s="271"/>
      <c r="G3" s="272" t="s">
        <v>321</v>
      </c>
    </row>
    <row r="4" spans="1:14" ht="15.75" customHeight="1" x14ac:dyDescent="0.2">
      <c r="A4" s="271"/>
      <c r="B4" s="271"/>
      <c r="C4" s="271"/>
      <c r="D4" s="271"/>
      <c r="E4" s="271"/>
    </row>
    <row r="5" spans="1:14" ht="15.75" customHeight="1" x14ac:dyDescent="0.2">
      <c r="A5" s="271"/>
      <c r="B5" s="271"/>
      <c r="C5" s="271"/>
      <c r="D5" s="271"/>
      <c r="E5" s="271"/>
      <c r="K5" s="275" t="s">
        <v>322</v>
      </c>
      <c r="M5" s="453" t="s">
        <v>323</v>
      </c>
      <c r="N5" s="454"/>
    </row>
    <row r="6" spans="1:14" ht="14.25" x14ac:dyDescent="0.2">
      <c r="A6" s="455" t="s">
        <v>324</v>
      </c>
      <c r="B6" s="455"/>
      <c r="C6" s="455"/>
      <c r="D6" s="455"/>
      <c r="E6" s="455" t="s">
        <v>325</v>
      </c>
      <c r="F6" s="455"/>
      <c r="G6" s="455"/>
      <c r="H6" s="276" t="s">
        <v>326</v>
      </c>
      <c r="I6" s="277" t="s">
        <v>327</v>
      </c>
      <c r="J6" s="276"/>
      <c r="K6" s="278"/>
      <c r="L6" s="279" t="s">
        <v>328</v>
      </c>
      <c r="M6" s="279"/>
      <c r="N6" s="276" t="s">
        <v>326</v>
      </c>
    </row>
    <row r="7" spans="1:14" x14ac:dyDescent="0.2">
      <c r="H7" s="280" t="s">
        <v>329</v>
      </c>
      <c r="I7" s="280" t="s">
        <v>330</v>
      </c>
      <c r="J7" s="280"/>
      <c r="K7" s="274"/>
      <c r="L7" s="281" t="s">
        <v>331</v>
      </c>
      <c r="N7" s="280" t="s">
        <v>332</v>
      </c>
    </row>
    <row r="8" spans="1:14" x14ac:dyDescent="0.2">
      <c r="A8" s="282"/>
      <c r="B8" s="282"/>
      <c r="C8" s="282"/>
      <c r="D8" s="282"/>
      <c r="E8" s="282"/>
      <c r="F8" s="282"/>
      <c r="G8" s="282"/>
      <c r="H8" s="283" t="s">
        <v>333</v>
      </c>
      <c r="I8" s="282"/>
      <c r="J8" s="282"/>
      <c r="K8" s="284">
        <v>19</v>
      </c>
      <c r="L8" s="284">
        <v>23.5</v>
      </c>
      <c r="M8" s="284">
        <v>28.5</v>
      </c>
      <c r="N8" s="285">
        <v>17</v>
      </c>
    </row>
    <row r="9" spans="1:14" x14ac:dyDescent="0.2">
      <c r="A9" s="286" t="s">
        <v>334</v>
      </c>
      <c r="K9" s="287"/>
      <c r="L9" s="287"/>
      <c r="M9" s="287"/>
      <c r="N9" s="287"/>
    </row>
    <row r="10" spans="1:14" ht="14.25" x14ac:dyDescent="0.2">
      <c r="B10" s="272" t="s">
        <v>335</v>
      </c>
      <c r="I10" s="288">
        <v>40</v>
      </c>
      <c r="J10" s="272" t="s">
        <v>336</v>
      </c>
      <c r="K10" s="289">
        <f>+$I$10*K8</f>
        <v>760</v>
      </c>
      <c r="L10" s="289">
        <f>+$I$10*L8</f>
        <v>940</v>
      </c>
      <c r="M10" s="289">
        <f>+$I$10*M8</f>
        <v>1140</v>
      </c>
      <c r="N10" s="290">
        <f>+$I$10*N8</f>
        <v>680</v>
      </c>
    </row>
    <row r="11" spans="1:14" ht="14.25" x14ac:dyDescent="0.2">
      <c r="B11" s="272" t="s">
        <v>337</v>
      </c>
      <c r="I11" s="291"/>
      <c r="K11" s="289">
        <v>0</v>
      </c>
      <c r="L11" s="289">
        <v>0</v>
      </c>
      <c r="M11" s="289">
        <v>0</v>
      </c>
      <c r="N11" s="292">
        <v>0</v>
      </c>
    </row>
    <row r="12" spans="1:14" x14ac:dyDescent="0.2">
      <c r="B12" s="272" t="s">
        <v>338</v>
      </c>
      <c r="I12" s="291"/>
      <c r="K12" s="289">
        <v>0</v>
      </c>
      <c r="L12" s="289">
        <v>0</v>
      </c>
      <c r="M12" s="289">
        <v>0</v>
      </c>
      <c r="N12" s="292">
        <v>0</v>
      </c>
    </row>
    <row r="13" spans="1:14" x14ac:dyDescent="0.2">
      <c r="B13" s="272" t="s">
        <v>339</v>
      </c>
      <c r="I13" s="291"/>
      <c r="K13" s="289">
        <v>0</v>
      </c>
      <c r="L13" s="289">
        <v>0</v>
      </c>
      <c r="M13" s="289">
        <v>0</v>
      </c>
      <c r="N13" s="292">
        <v>0</v>
      </c>
    </row>
    <row r="14" spans="1:14" x14ac:dyDescent="0.2">
      <c r="B14" s="272" t="s">
        <v>340</v>
      </c>
      <c r="F14" s="291"/>
      <c r="I14" s="291"/>
      <c r="J14" s="293"/>
      <c r="K14" s="289">
        <v>0</v>
      </c>
      <c r="L14" s="289">
        <v>0</v>
      </c>
      <c r="M14" s="289">
        <v>0</v>
      </c>
      <c r="N14" s="292">
        <v>0</v>
      </c>
    </row>
    <row r="15" spans="1:14" x14ac:dyDescent="0.2">
      <c r="E15" s="294"/>
      <c r="F15" s="294"/>
      <c r="G15" s="294"/>
      <c r="H15" s="294"/>
      <c r="I15" s="295"/>
      <c r="J15" s="294"/>
      <c r="K15" s="289"/>
      <c r="L15" s="289"/>
      <c r="M15" s="289"/>
      <c r="N15" s="292"/>
    </row>
    <row r="16" spans="1:14" x14ac:dyDescent="0.2">
      <c r="A16" s="286" t="s">
        <v>341</v>
      </c>
      <c r="I16" s="295"/>
      <c r="K16" s="289">
        <f>SUM(K10:K14)</f>
        <v>760</v>
      </c>
      <c r="L16" s="289">
        <f>SUM(L10:L14)</f>
        <v>940</v>
      </c>
      <c r="M16" s="289">
        <f>SUM(M10:M14)</f>
        <v>1140</v>
      </c>
      <c r="N16" s="290">
        <f>SUM(N10:N14)</f>
        <v>680</v>
      </c>
    </row>
    <row r="17" spans="1:20" ht="4.5" customHeight="1" x14ac:dyDescent="0.2">
      <c r="K17" s="287"/>
      <c r="L17" s="287"/>
      <c r="M17" s="287"/>
      <c r="N17" s="296"/>
    </row>
    <row r="18" spans="1:20" x14ac:dyDescent="0.2">
      <c r="A18" s="286" t="s">
        <v>342</v>
      </c>
      <c r="J18" s="295"/>
      <c r="K18" s="287"/>
      <c r="L18" s="287"/>
      <c r="M18" s="287"/>
      <c r="N18" s="296"/>
    </row>
    <row r="19" spans="1:20" ht="14.25" x14ac:dyDescent="0.2">
      <c r="B19" s="272" t="s">
        <v>343</v>
      </c>
      <c r="E19" s="272">
        <v>28000</v>
      </c>
      <c r="F19" s="272">
        <v>32000</v>
      </c>
      <c r="G19" s="272">
        <v>34000</v>
      </c>
      <c r="H19" s="297">
        <v>34000</v>
      </c>
      <c r="I19" s="288">
        <f>I20/80</f>
        <v>3.5750000000000002</v>
      </c>
      <c r="J19" s="272" t="s">
        <v>344</v>
      </c>
      <c r="K19" s="274">
        <f>+$I$19*E19/1000</f>
        <v>100.1</v>
      </c>
      <c r="L19" s="274">
        <f>+$I$19*F19/1000</f>
        <v>114.4</v>
      </c>
      <c r="M19" s="274">
        <f>+$I$19*G19/1000</f>
        <v>121.55</v>
      </c>
      <c r="N19" s="298">
        <f>+$I$19*H19/1000</f>
        <v>121.55</v>
      </c>
      <c r="O19" s="299"/>
    </row>
    <row r="20" spans="1:20" x14ac:dyDescent="0.2">
      <c r="E20" s="272" t="s">
        <v>345</v>
      </c>
      <c r="H20" s="300"/>
      <c r="I20" s="288">
        <v>286</v>
      </c>
      <c r="J20" s="293" t="s">
        <v>346</v>
      </c>
      <c r="K20" s="274"/>
      <c r="N20" s="275"/>
    </row>
    <row r="21" spans="1:20" ht="14.25" x14ac:dyDescent="0.2">
      <c r="B21" s="272" t="s">
        <v>347</v>
      </c>
      <c r="I21" s="286"/>
      <c r="J21" s="301"/>
      <c r="K21" s="274"/>
      <c r="N21" s="275"/>
    </row>
    <row r="22" spans="1:20" x14ac:dyDescent="0.2">
      <c r="C22" s="272" t="s">
        <v>348</v>
      </c>
      <c r="H22" s="272">
        <v>200</v>
      </c>
      <c r="I22" s="286">
        <f>(734/2000)</f>
        <v>0.36699999999999999</v>
      </c>
      <c r="J22" s="301"/>
      <c r="K22" s="274">
        <v>0</v>
      </c>
      <c r="L22" s="274">
        <v>0</v>
      </c>
      <c r="M22" s="274">
        <v>0</v>
      </c>
      <c r="N22" s="302">
        <f>H22*I22</f>
        <v>73.400000000000006</v>
      </c>
    </row>
    <row r="23" spans="1:20" x14ac:dyDescent="0.2">
      <c r="C23" s="272" t="s">
        <v>349</v>
      </c>
      <c r="H23" s="272">
        <v>300</v>
      </c>
      <c r="I23" s="286">
        <f>775/2000</f>
        <v>0.38750000000000001</v>
      </c>
      <c r="J23" s="301"/>
      <c r="K23" s="274"/>
      <c r="N23" s="302">
        <f>H23*I23</f>
        <v>116.25</v>
      </c>
    </row>
    <row r="24" spans="1:20" x14ac:dyDescent="0.2">
      <c r="C24" s="272" t="s">
        <v>350</v>
      </c>
      <c r="E24" s="303">
        <v>178</v>
      </c>
      <c r="F24" s="303">
        <v>194</v>
      </c>
      <c r="G24" s="303">
        <v>210</v>
      </c>
      <c r="H24" s="304"/>
      <c r="I24" s="305">
        <f>F78/1640</f>
        <v>0.47256097560975607</v>
      </c>
      <c r="J24" s="272" t="s">
        <v>351</v>
      </c>
      <c r="K24" s="274">
        <f>($I$24*E24)+10</f>
        <v>94.115853658536579</v>
      </c>
      <c r="L24" s="274">
        <f>($I$24*F24)+10</f>
        <v>101.67682926829268</v>
      </c>
      <c r="M24" s="274">
        <f>($I$24*G24)+10</f>
        <v>109.23780487804878</v>
      </c>
      <c r="N24" s="298">
        <f>($I$24*H24)</f>
        <v>0</v>
      </c>
    </row>
    <row r="25" spans="1:20" ht="15.75" x14ac:dyDescent="0.3">
      <c r="C25" s="272" t="s">
        <v>352</v>
      </c>
      <c r="E25" s="303">
        <f>K8*3.1</f>
        <v>58.9</v>
      </c>
      <c r="F25" s="303">
        <f>L8*3.1</f>
        <v>72.850000000000009</v>
      </c>
      <c r="G25" s="303">
        <f>M8*3.1</f>
        <v>88.350000000000009</v>
      </c>
      <c r="H25" s="306"/>
      <c r="I25" s="307">
        <f>I78/1040</f>
        <v>0.76923076923076927</v>
      </c>
      <c r="J25" s="272" t="s">
        <v>351</v>
      </c>
      <c r="K25" s="274">
        <f>+$I$25*E25</f>
        <v>45.307692307692307</v>
      </c>
      <c r="L25" s="274">
        <f>+$I$25*F25</f>
        <v>56.038461538461547</v>
      </c>
      <c r="M25" s="274">
        <f>+$I$25*G25</f>
        <v>67.961538461538467</v>
      </c>
      <c r="N25" s="298">
        <f>+$I$25*H25</f>
        <v>0</v>
      </c>
    </row>
    <row r="26" spans="1:20" ht="15.75" x14ac:dyDescent="0.3">
      <c r="C26" s="272" t="s">
        <v>353</v>
      </c>
      <c r="E26" s="303">
        <f>(K8*7.3)</f>
        <v>138.69999999999999</v>
      </c>
      <c r="F26" s="303">
        <f>(L8*7.3)</f>
        <v>171.54999999999998</v>
      </c>
      <c r="G26" s="303">
        <f>(M8*7.3)</f>
        <v>208.04999999999998</v>
      </c>
      <c r="H26" s="304"/>
      <c r="I26" s="307">
        <f>M78/1200</f>
        <v>0.54166666666666663</v>
      </c>
      <c r="J26" s="272" t="s">
        <v>351</v>
      </c>
      <c r="K26" s="274">
        <f>+$I$26*E26</f>
        <v>75.129166666666649</v>
      </c>
      <c r="L26" s="274">
        <f>+$I$26*F26</f>
        <v>92.922916666666652</v>
      </c>
      <c r="M26" s="274">
        <f>+$I$26*G26</f>
        <v>112.69374999999998</v>
      </c>
      <c r="N26" s="298">
        <f>+$I$26*H26</f>
        <v>0</v>
      </c>
      <c r="O26" s="274"/>
      <c r="P26" s="274"/>
      <c r="Q26" s="274"/>
      <c r="R26" s="274"/>
    </row>
    <row r="27" spans="1:20" x14ac:dyDescent="0.2">
      <c r="C27" s="272" t="s">
        <v>354</v>
      </c>
      <c r="F27" s="272">
        <v>0.25</v>
      </c>
      <c r="H27" s="308">
        <v>0.25</v>
      </c>
      <c r="I27" s="297">
        <v>25</v>
      </c>
      <c r="J27" s="272" t="s">
        <v>336</v>
      </c>
      <c r="K27" s="274">
        <f>+F27*I27</f>
        <v>6.25</v>
      </c>
      <c r="L27" s="274">
        <f>+F27*I27</f>
        <v>6.25</v>
      </c>
      <c r="M27" s="274">
        <f>+F27*I27</f>
        <v>6.25</v>
      </c>
      <c r="N27" s="298">
        <f>+H27*I27</f>
        <v>6.25</v>
      </c>
    </row>
    <row r="28" spans="1:20" ht="14.25" x14ac:dyDescent="0.2">
      <c r="B28" s="272" t="s">
        <v>355</v>
      </c>
      <c r="D28" s="272" t="s">
        <v>356</v>
      </c>
      <c r="H28" s="272">
        <v>0.25</v>
      </c>
      <c r="I28" s="309">
        <v>66</v>
      </c>
      <c r="J28" s="293" t="s">
        <v>357</v>
      </c>
      <c r="K28" s="274">
        <v>57.78</v>
      </c>
      <c r="L28" s="274">
        <v>57.78</v>
      </c>
      <c r="M28" s="274">
        <v>57.78</v>
      </c>
      <c r="N28" s="298">
        <f>+H28*I28</f>
        <v>16.5</v>
      </c>
      <c r="P28" s="274"/>
    </row>
    <row r="29" spans="1:20" x14ac:dyDescent="0.2">
      <c r="D29" s="272" t="s">
        <v>358</v>
      </c>
      <c r="K29" s="274">
        <v>0</v>
      </c>
      <c r="L29" s="274">
        <v>0</v>
      </c>
      <c r="M29" s="274">
        <v>0</v>
      </c>
      <c r="N29" s="310">
        <v>0</v>
      </c>
    </row>
    <row r="30" spans="1:20" x14ac:dyDescent="0.2">
      <c r="D30" s="272" t="s">
        <v>359</v>
      </c>
      <c r="K30" s="274">
        <v>0</v>
      </c>
      <c r="L30" s="274">
        <v>0</v>
      </c>
      <c r="M30" s="274">
        <v>0</v>
      </c>
      <c r="N30" s="310">
        <v>0</v>
      </c>
    </row>
    <row r="31" spans="1:20" ht="14.25" x14ac:dyDescent="0.2">
      <c r="B31" s="272" t="s">
        <v>360</v>
      </c>
      <c r="E31" s="311">
        <v>1</v>
      </c>
      <c r="F31" s="293" t="s">
        <v>361</v>
      </c>
      <c r="H31" s="312">
        <v>5</v>
      </c>
      <c r="I31" s="272" t="s">
        <v>362</v>
      </c>
      <c r="K31" s="274">
        <f>K8*$E$31</f>
        <v>19</v>
      </c>
      <c r="L31" s="274">
        <f>L8*$E$31</f>
        <v>23.5</v>
      </c>
      <c r="M31" s="274">
        <f>M8*$E$31</f>
        <v>28.5</v>
      </c>
      <c r="N31" s="313">
        <f>N8*$E$31</f>
        <v>17</v>
      </c>
    </row>
    <row r="32" spans="1:20" ht="14.25" x14ac:dyDescent="0.2">
      <c r="B32" s="272" t="s">
        <v>363</v>
      </c>
      <c r="K32" s="274">
        <v>12.760000000000003</v>
      </c>
      <c r="L32" s="274">
        <v>12.760000000000003</v>
      </c>
      <c r="M32" s="274">
        <v>12.760000000000003</v>
      </c>
      <c r="N32" s="313">
        <v>12.760000000000003</v>
      </c>
      <c r="P32" s="289"/>
      <c r="Q32" s="289"/>
      <c r="R32" s="289"/>
      <c r="T32" s="314"/>
    </row>
    <row r="33" spans="1:18" ht="14.25" x14ac:dyDescent="0.2">
      <c r="B33" s="272" t="s">
        <v>364</v>
      </c>
      <c r="K33" s="274">
        <v>21.081741764812826</v>
      </c>
      <c r="L33" s="274">
        <v>21.081741764812826</v>
      </c>
      <c r="M33" s="274">
        <v>21.081741764812826</v>
      </c>
      <c r="N33" s="313">
        <v>21.081741764812826</v>
      </c>
    </row>
    <row r="34" spans="1:18" ht="14.25" x14ac:dyDescent="0.2">
      <c r="B34" s="272" t="s">
        <v>365</v>
      </c>
      <c r="K34" s="274">
        <v>19</v>
      </c>
      <c r="L34" s="274">
        <v>21</v>
      </c>
      <c r="M34" s="274">
        <v>26</v>
      </c>
      <c r="N34" s="310">
        <v>26</v>
      </c>
      <c r="P34" s="289"/>
    </row>
    <row r="35" spans="1:18" ht="14.25" x14ac:dyDescent="0.2">
      <c r="B35" s="272" t="s">
        <v>366</v>
      </c>
      <c r="K35" s="274">
        <v>6.85</v>
      </c>
      <c r="L35" s="274">
        <v>6.85</v>
      </c>
      <c r="M35" s="274">
        <v>6.85</v>
      </c>
      <c r="N35" s="310">
        <v>6.85</v>
      </c>
    </row>
    <row r="36" spans="1:18" ht="14.25" x14ac:dyDescent="0.2">
      <c r="B36" s="272" t="s">
        <v>367</v>
      </c>
      <c r="K36" s="274">
        <v>22.2</v>
      </c>
      <c r="L36" s="274">
        <v>22.2</v>
      </c>
      <c r="M36" s="274">
        <v>22.2</v>
      </c>
      <c r="N36" s="315">
        <v>22.2</v>
      </c>
      <c r="P36" s="289"/>
      <c r="Q36" s="289"/>
      <c r="R36" s="289"/>
    </row>
    <row r="37" spans="1:18" ht="14.25" x14ac:dyDescent="0.2">
      <c r="B37" s="272" t="s">
        <v>368</v>
      </c>
      <c r="K37" s="274">
        <v>0</v>
      </c>
      <c r="L37" s="274">
        <v>0</v>
      </c>
      <c r="M37" s="274">
        <v>0</v>
      </c>
      <c r="N37" s="310">
        <v>0</v>
      </c>
      <c r="P37" s="289"/>
    </row>
    <row r="38" spans="1:18" ht="14.25" x14ac:dyDescent="0.2">
      <c r="B38" s="272" t="s">
        <v>369</v>
      </c>
      <c r="F38" s="316">
        <v>7</v>
      </c>
      <c r="G38" s="272" t="s">
        <v>370</v>
      </c>
      <c r="I38" s="317">
        <v>0.04</v>
      </c>
      <c r="K38" s="274">
        <f>(SUM(K19:K37)-K31-K34)*$I$38*($F$38/12)</f>
        <v>10.30340393594653</v>
      </c>
      <c r="L38" s="274">
        <f>(SUM(L19:L37)-L31-L34)*$I$38*($F$38/12)</f>
        <v>11.479065482225456</v>
      </c>
      <c r="M38" s="274">
        <f>(SUM(M19:M37)-M31-M34)*$I$38*($F$38/12)</f>
        <v>12.561846152436003</v>
      </c>
      <c r="N38" s="318">
        <f>(SUM(N19:N37)-N31-N34)*$I$38*($F$38/12)</f>
        <v>9.2596406411789669</v>
      </c>
    </row>
    <row r="39" spans="1:18" x14ac:dyDescent="0.2">
      <c r="F39" s="319"/>
      <c r="I39" s="320"/>
      <c r="K39" s="274"/>
      <c r="N39" s="275"/>
    </row>
    <row r="40" spans="1:18" x14ac:dyDescent="0.2">
      <c r="A40" s="286" t="s">
        <v>371</v>
      </c>
      <c r="G40" s="321" t="s">
        <v>372</v>
      </c>
      <c r="H40" s="321"/>
      <c r="K40" s="274">
        <f>SUM(K19:K38)</f>
        <v>489.8778583336549</v>
      </c>
      <c r="L40" s="274">
        <f>SUM(L19:L38)</f>
        <v>547.93901472045923</v>
      </c>
      <c r="M40" s="274">
        <f>SUM(M19:M38)</f>
        <v>605.4266812568361</v>
      </c>
      <c r="N40" s="298">
        <f>SUM(N19:N38)</f>
        <v>449.10138240599179</v>
      </c>
    </row>
    <row r="41" spans="1:18" x14ac:dyDescent="0.2">
      <c r="G41" s="321" t="s">
        <v>373</v>
      </c>
      <c r="H41" s="321"/>
      <c r="K41" s="274">
        <f>+K40/K8</f>
        <v>25.78304517545552</v>
      </c>
      <c r="L41" s="274">
        <f>+L40/L8</f>
        <v>23.316553817891883</v>
      </c>
      <c r="M41" s="274">
        <f>+M40/M8</f>
        <v>21.243041447608284</v>
      </c>
      <c r="N41" s="298">
        <f>+N40/N8</f>
        <v>26.417728376823046</v>
      </c>
      <c r="O41" s="289"/>
      <c r="P41" s="289"/>
      <c r="Q41" s="289"/>
      <c r="R41" s="290"/>
    </row>
    <row r="42" spans="1:18" ht="3.75" customHeight="1" x14ac:dyDescent="0.2">
      <c r="K42" s="287"/>
      <c r="L42" s="287"/>
      <c r="M42" s="287"/>
      <c r="N42" s="296"/>
    </row>
    <row r="43" spans="1:18" x14ac:dyDescent="0.2">
      <c r="A43" s="286" t="s">
        <v>374</v>
      </c>
      <c r="K43" s="287"/>
      <c r="L43" s="287"/>
      <c r="M43" s="287"/>
      <c r="N43" s="296"/>
      <c r="O43" s="299"/>
      <c r="P43" s="299"/>
      <c r="Q43" s="299"/>
      <c r="R43" s="299"/>
    </row>
    <row r="44" spans="1:18" ht="14.25" x14ac:dyDescent="0.2">
      <c r="B44" s="272" t="s">
        <v>375</v>
      </c>
      <c r="F44" s="322">
        <v>2.5</v>
      </c>
      <c r="G44" s="272" t="s">
        <v>376</v>
      </c>
      <c r="I44" s="323">
        <v>20</v>
      </c>
      <c r="J44" s="272" t="s">
        <v>377</v>
      </c>
      <c r="K44" s="289">
        <f>+$F$44*$I$44</f>
        <v>50</v>
      </c>
      <c r="L44" s="289">
        <f>+$F$44*$I$44</f>
        <v>50</v>
      </c>
      <c r="M44" s="289">
        <f>+$F$44*$I$44</f>
        <v>50</v>
      </c>
      <c r="N44" s="290">
        <f>+$F$44*$I$44</f>
        <v>50</v>
      </c>
    </row>
    <row r="45" spans="1:18" ht="14.25" x14ac:dyDescent="0.2">
      <c r="B45" s="272" t="s">
        <v>378</v>
      </c>
      <c r="F45" s="324">
        <v>0.05</v>
      </c>
      <c r="G45" s="272" t="s">
        <v>379</v>
      </c>
      <c r="K45" s="289">
        <f>$F$45*K16</f>
        <v>38</v>
      </c>
      <c r="L45" s="289">
        <f>$F$45*L16</f>
        <v>47</v>
      </c>
      <c r="M45" s="289">
        <f>$F$45*M16</f>
        <v>57</v>
      </c>
      <c r="N45" s="325">
        <f>$F$45*N16</f>
        <v>34</v>
      </c>
    </row>
    <row r="46" spans="1:18" ht="14.25" x14ac:dyDescent="0.2">
      <c r="B46" s="272" t="s">
        <v>380</v>
      </c>
      <c r="F46" s="294"/>
      <c r="K46" s="326">
        <v>63.487878344672836</v>
      </c>
      <c r="L46" s="326">
        <v>63.487878344672836</v>
      </c>
      <c r="M46" s="326">
        <v>63.487878344672836</v>
      </c>
      <c r="N46" s="326">
        <v>63.487878344672836</v>
      </c>
    </row>
    <row r="47" spans="1:18" ht="14.25" x14ac:dyDescent="0.2">
      <c r="B47" s="272" t="s">
        <v>381</v>
      </c>
      <c r="F47" s="294" t="s">
        <v>382</v>
      </c>
      <c r="K47" s="289">
        <v>168</v>
      </c>
      <c r="L47" s="289">
        <v>207</v>
      </c>
      <c r="M47" s="289">
        <v>252</v>
      </c>
      <c r="N47" s="327">
        <v>252</v>
      </c>
    </row>
    <row r="48" spans="1:18" ht="14.25" x14ac:dyDescent="0.2">
      <c r="B48" s="272" t="s">
        <v>383</v>
      </c>
      <c r="F48" s="294"/>
      <c r="K48" s="289">
        <v>30.2</v>
      </c>
      <c r="L48" s="289">
        <v>30.2</v>
      </c>
      <c r="M48" s="289">
        <v>30.2</v>
      </c>
      <c r="N48" s="327">
        <v>30.2</v>
      </c>
    </row>
    <row r="49" spans="1:18" ht="5.25" customHeight="1" x14ac:dyDescent="0.2">
      <c r="K49" s="326"/>
      <c r="L49" s="326"/>
      <c r="M49" s="326"/>
      <c r="N49" s="328"/>
    </row>
    <row r="50" spans="1:18" x14ac:dyDescent="0.2">
      <c r="A50" s="286" t="s">
        <v>384</v>
      </c>
      <c r="K50" s="289">
        <f>SUM(K44:K49)</f>
        <v>349.68787834467281</v>
      </c>
      <c r="L50" s="289">
        <f>SUM(L44:L49)</f>
        <v>397.68787834467281</v>
      </c>
      <c r="M50" s="289">
        <f>SUM(M44:M49)</f>
        <v>452.68787834467281</v>
      </c>
      <c r="N50" s="290">
        <f>SUM(N44:N49)</f>
        <v>429.68787834467281</v>
      </c>
    </row>
    <row r="51" spans="1:18" ht="5.25" customHeight="1" x14ac:dyDescent="0.2">
      <c r="K51" s="289"/>
      <c r="L51" s="289"/>
      <c r="M51" s="289"/>
      <c r="N51" s="292"/>
    </row>
    <row r="52" spans="1:18" x14ac:dyDescent="0.2">
      <c r="A52" s="286" t="s">
        <v>385</v>
      </c>
      <c r="G52" s="321" t="s">
        <v>372</v>
      </c>
      <c r="H52" s="321"/>
      <c r="K52" s="289">
        <f>+K40+K50</f>
        <v>839.56573667832777</v>
      </c>
      <c r="L52" s="289">
        <f>+L40+L50</f>
        <v>945.62689306513198</v>
      </c>
      <c r="M52" s="289">
        <f>+M40+M50</f>
        <v>1058.114559601509</v>
      </c>
      <c r="N52" s="290">
        <f>+N40+N50</f>
        <v>878.78926075066465</v>
      </c>
      <c r="O52" s="289"/>
      <c r="P52" s="289"/>
      <c r="Q52" s="289"/>
      <c r="R52" s="289"/>
    </row>
    <row r="53" spans="1:18" x14ac:dyDescent="0.2">
      <c r="A53" s="286"/>
      <c r="G53" s="321" t="s">
        <v>373</v>
      </c>
      <c r="H53" s="321"/>
      <c r="K53" s="289">
        <f>+K52/K8</f>
        <v>44.187670351490937</v>
      </c>
      <c r="L53" s="289">
        <f>+L52/L8</f>
        <v>40.239442258090726</v>
      </c>
      <c r="M53" s="289">
        <f>+M52/M8</f>
        <v>37.126826652684528</v>
      </c>
      <c r="N53" s="290">
        <f>+N52/N8</f>
        <v>51.693485926509688</v>
      </c>
      <c r="O53" s="289"/>
      <c r="P53" s="289"/>
      <c r="Q53" s="289"/>
      <c r="R53" s="289"/>
    </row>
    <row r="54" spans="1:18" ht="5.25" customHeight="1" x14ac:dyDescent="0.2">
      <c r="K54" s="289"/>
      <c r="L54" s="289"/>
      <c r="M54" s="289"/>
      <c r="N54" s="292"/>
    </row>
    <row r="55" spans="1:18" ht="14.25" x14ac:dyDescent="0.2">
      <c r="A55" s="329" t="s">
        <v>386</v>
      </c>
      <c r="B55" s="278"/>
      <c r="C55" s="278"/>
      <c r="D55" s="278"/>
      <c r="E55" s="278"/>
      <c r="F55" s="278"/>
      <c r="G55" s="278"/>
      <c r="H55" s="278"/>
      <c r="I55" s="278"/>
      <c r="J55" s="278"/>
      <c r="K55" s="330">
        <f>+K16-K40</f>
        <v>270.1221416663451</v>
      </c>
      <c r="L55" s="330">
        <f>+L16-L40</f>
        <v>392.06098527954077</v>
      </c>
      <c r="M55" s="330">
        <f>+M16-M40</f>
        <v>534.5733187431639</v>
      </c>
      <c r="N55" s="331">
        <f>+N16-N40</f>
        <v>230.89861759400821</v>
      </c>
      <c r="O55" s="289"/>
      <c r="P55" s="289"/>
      <c r="Q55" s="289"/>
      <c r="R55" s="289"/>
    </row>
    <row r="56" spans="1:18" x14ac:dyDescent="0.2">
      <c r="A56" s="286" t="s">
        <v>387</v>
      </c>
      <c r="K56" s="289">
        <f>K16-(K40+K47)</f>
        <v>102.1221416663451</v>
      </c>
      <c r="L56" s="289">
        <f>L16-(L40+L47)</f>
        <v>185.06098527954077</v>
      </c>
      <c r="M56" s="289">
        <f>M16-(M40+M47)</f>
        <v>282.5733187431639</v>
      </c>
      <c r="N56" s="292">
        <f>N16-(N40+N47)</f>
        <v>-21.101382405991785</v>
      </c>
      <c r="O56" s="289"/>
      <c r="P56" s="289"/>
      <c r="Q56" s="289"/>
      <c r="R56" s="289"/>
    </row>
    <row r="57" spans="1:18" x14ac:dyDescent="0.2">
      <c r="A57" s="283" t="s">
        <v>388</v>
      </c>
      <c r="B57" s="282"/>
      <c r="C57" s="282"/>
      <c r="D57" s="282"/>
      <c r="E57" s="282"/>
      <c r="F57" s="282"/>
      <c r="G57" s="282"/>
      <c r="H57" s="282"/>
      <c r="I57" s="282"/>
      <c r="J57" s="282"/>
      <c r="K57" s="332">
        <f>+K16-K52</f>
        <v>-79.565736678327767</v>
      </c>
      <c r="L57" s="332">
        <f>+L16-L52</f>
        <v>-5.6268930651319806</v>
      </c>
      <c r="M57" s="332">
        <f>+M16-M52</f>
        <v>81.885440398491028</v>
      </c>
      <c r="N57" s="333">
        <f>+N16-N52</f>
        <v>-198.78926075066465</v>
      </c>
      <c r="O57" s="289"/>
      <c r="P57" s="289"/>
      <c r="Q57" s="289"/>
      <c r="R57" s="289"/>
    </row>
    <row r="58" spans="1:18" x14ac:dyDescent="0.2">
      <c r="A58" s="286" t="s">
        <v>389</v>
      </c>
      <c r="K58" s="289">
        <f>K57+K47</f>
        <v>88.434263321672233</v>
      </c>
      <c r="L58" s="289">
        <f>L57+L47</f>
        <v>201.37310693486802</v>
      </c>
      <c r="M58" s="289">
        <f>M57+M47</f>
        <v>333.88544039849103</v>
      </c>
      <c r="N58" s="292">
        <f>N57+N47</f>
        <v>53.210739249335347</v>
      </c>
      <c r="O58" s="289"/>
      <c r="P58" s="289"/>
      <c r="Q58" s="289"/>
      <c r="R58" s="289"/>
    </row>
    <row r="59" spans="1:18" x14ac:dyDescent="0.2">
      <c r="A59" s="286" t="s">
        <v>390</v>
      </c>
      <c r="K59" s="289">
        <f>K57+K44+K45</f>
        <v>8.4342633216722334</v>
      </c>
      <c r="L59" s="289">
        <f>L57+L44+L45</f>
        <v>91.373106934868019</v>
      </c>
      <c r="M59" s="289">
        <f>M57+M44+M45</f>
        <v>188.88544039849103</v>
      </c>
      <c r="N59" s="292">
        <f>N57+N44+N45</f>
        <v>-114.78926075066465</v>
      </c>
      <c r="O59" s="289"/>
      <c r="P59" s="289"/>
      <c r="Q59" s="289"/>
      <c r="R59" s="289"/>
    </row>
    <row r="60" spans="1:18" ht="12.75" customHeight="1" x14ac:dyDescent="0.2">
      <c r="A60" s="283" t="s">
        <v>391</v>
      </c>
      <c r="B60" s="282"/>
      <c r="C60" s="282"/>
      <c r="D60" s="282"/>
      <c r="E60" s="282"/>
      <c r="F60" s="282"/>
      <c r="G60" s="283"/>
      <c r="H60" s="334"/>
      <c r="I60" s="282"/>
      <c r="J60" s="282"/>
      <c r="K60" s="332">
        <f>K57+K44+K45+K47</f>
        <v>176.43426332167223</v>
      </c>
      <c r="L60" s="332">
        <f>L57+L44+L45+L47</f>
        <v>298.37310693486802</v>
      </c>
      <c r="M60" s="332">
        <f>M57+M44+M45+M47</f>
        <v>440.88544039849103</v>
      </c>
      <c r="N60" s="333">
        <f>N57+N44+N45+N47</f>
        <v>137.21073924933535</v>
      </c>
      <c r="O60" s="289"/>
      <c r="P60" s="289"/>
      <c r="Q60" s="289"/>
      <c r="R60" s="289"/>
    </row>
    <row r="61" spans="1:18" x14ac:dyDescent="0.2">
      <c r="A61" s="335" t="s">
        <v>392</v>
      </c>
      <c r="B61" s="335"/>
      <c r="C61" s="335"/>
      <c r="D61" s="336"/>
      <c r="E61" s="335"/>
      <c r="F61" s="335"/>
      <c r="G61" s="335"/>
      <c r="H61" s="335"/>
      <c r="I61" s="335"/>
      <c r="J61" s="335"/>
      <c r="K61" s="335"/>
      <c r="L61" s="337"/>
      <c r="M61" s="337"/>
      <c r="N61" s="337"/>
    </row>
    <row r="62" spans="1:18" x14ac:dyDescent="0.2">
      <c r="B62" s="335" t="s">
        <v>393</v>
      </c>
      <c r="C62" s="335"/>
      <c r="D62" s="335"/>
      <c r="E62" s="335"/>
      <c r="F62" s="335"/>
      <c r="G62" s="335"/>
      <c r="H62" s="335"/>
      <c r="I62" s="335"/>
      <c r="J62" s="335"/>
      <c r="K62" s="335"/>
      <c r="L62" s="337"/>
      <c r="M62" s="337"/>
      <c r="N62" s="337"/>
    </row>
    <row r="63" spans="1:18" x14ac:dyDescent="0.2">
      <c r="A63" s="335" t="s">
        <v>394</v>
      </c>
      <c r="B63" s="335"/>
      <c r="C63" s="335"/>
      <c r="D63" s="338"/>
      <c r="E63" s="335"/>
      <c r="F63" s="335"/>
      <c r="G63" s="335"/>
      <c r="H63" s="335"/>
      <c r="I63" s="335"/>
      <c r="J63" s="335"/>
      <c r="K63" s="335"/>
      <c r="L63" s="337"/>
      <c r="M63" s="337"/>
      <c r="N63" s="337"/>
    </row>
    <row r="64" spans="1:18" x14ac:dyDescent="0.2">
      <c r="A64" s="335"/>
      <c r="B64" s="335" t="s">
        <v>395</v>
      </c>
      <c r="C64" s="335"/>
      <c r="D64" s="335"/>
      <c r="E64" s="335"/>
      <c r="F64" s="335"/>
      <c r="G64" s="335"/>
      <c r="H64" s="335"/>
      <c r="I64" s="335"/>
      <c r="J64" s="335"/>
      <c r="K64" s="335"/>
      <c r="L64" s="337"/>
      <c r="M64" s="337"/>
      <c r="N64" s="337"/>
    </row>
    <row r="65" spans="1:15" x14ac:dyDescent="0.2">
      <c r="A65" s="335" t="s">
        <v>396</v>
      </c>
      <c r="B65" s="335"/>
      <c r="C65" s="335"/>
      <c r="D65" s="339"/>
      <c r="E65" s="335"/>
      <c r="F65" s="335"/>
      <c r="G65" s="335"/>
      <c r="H65" s="335"/>
      <c r="I65" s="335"/>
      <c r="J65" s="335"/>
      <c r="K65" s="335"/>
      <c r="L65" s="337"/>
      <c r="M65" s="337"/>
      <c r="N65" s="337"/>
    </row>
    <row r="66" spans="1:15" ht="13.5" x14ac:dyDescent="0.2">
      <c r="A66" s="340">
        <v>1</v>
      </c>
      <c r="B66" s="335" t="s">
        <v>397</v>
      </c>
      <c r="C66" s="335"/>
      <c r="D66" s="335"/>
      <c r="E66" s="335"/>
      <c r="F66" s="335"/>
      <c r="G66" s="335"/>
      <c r="H66" s="335"/>
      <c r="I66" s="335"/>
      <c r="J66" s="335"/>
      <c r="K66" s="335"/>
      <c r="L66" s="337"/>
      <c r="M66" s="337"/>
      <c r="N66" s="337"/>
    </row>
    <row r="67" spans="1:15" x14ac:dyDescent="0.2">
      <c r="B67" s="335" t="s">
        <v>398</v>
      </c>
      <c r="C67" s="335"/>
      <c r="D67" s="335"/>
      <c r="E67" s="335"/>
      <c r="F67" s="335"/>
      <c r="G67" s="335"/>
      <c r="H67" s="335"/>
      <c r="I67" s="335"/>
      <c r="J67" s="335"/>
      <c r="K67" s="335"/>
      <c r="L67" s="337"/>
      <c r="M67" s="337"/>
      <c r="N67" s="337"/>
    </row>
    <row r="68" spans="1:15" ht="13.5" x14ac:dyDescent="0.2">
      <c r="A68" s="340">
        <v>2</v>
      </c>
      <c r="B68" s="335" t="s">
        <v>399</v>
      </c>
      <c r="C68" s="335"/>
      <c r="D68" s="335"/>
      <c r="E68" s="335"/>
      <c r="F68" s="335"/>
      <c r="G68" s="335"/>
      <c r="H68" s="335"/>
      <c r="I68" s="335"/>
      <c r="J68" s="335"/>
      <c r="K68" s="335"/>
      <c r="L68" s="337"/>
      <c r="M68" s="337"/>
      <c r="N68" s="337"/>
    </row>
    <row r="69" spans="1:15" ht="13.5" x14ac:dyDescent="0.2">
      <c r="A69" s="340"/>
      <c r="B69" s="335" t="s">
        <v>400</v>
      </c>
      <c r="C69" s="335"/>
      <c r="D69" s="335"/>
      <c r="E69" s="335"/>
      <c r="F69" s="335"/>
      <c r="G69" s="335"/>
      <c r="H69" s="335"/>
      <c r="I69" s="335"/>
      <c r="J69" s="335"/>
      <c r="K69" s="335"/>
      <c r="L69" s="337"/>
      <c r="M69" s="337"/>
      <c r="N69" s="337"/>
    </row>
    <row r="70" spans="1:15" ht="13.5" x14ac:dyDescent="0.2">
      <c r="A70" s="340"/>
      <c r="B70" s="335" t="s">
        <v>401</v>
      </c>
      <c r="C70" s="335"/>
      <c r="D70" s="335"/>
      <c r="E70" s="335"/>
      <c r="F70" s="335"/>
      <c r="G70" s="335"/>
      <c r="H70" s="335"/>
      <c r="I70" s="335"/>
      <c r="J70" s="335"/>
      <c r="K70" s="335"/>
      <c r="L70" s="337"/>
      <c r="M70" s="337"/>
      <c r="N70" s="337"/>
    </row>
    <row r="71" spans="1:15" ht="13.5" x14ac:dyDescent="0.2">
      <c r="A71" s="340"/>
      <c r="B71" s="335" t="s">
        <v>402</v>
      </c>
      <c r="C71" s="335"/>
      <c r="D71" s="335"/>
      <c r="E71" s="335"/>
      <c r="F71" s="335"/>
      <c r="G71" s="335"/>
      <c r="H71" s="335"/>
      <c r="I71" s="335"/>
      <c r="J71" s="335"/>
      <c r="K71" s="335"/>
      <c r="L71" s="337"/>
      <c r="M71" s="337"/>
      <c r="N71" s="337"/>
    </row>
    <row r="72" spans="1:15" ht="13.5" x14ac:dyDescent="0.2">
      <c r="A72" s="340">
        <v>3</v>
      </c>
      <c r="B72" s="335" t="s">
        <v>403</v>
      </c>
      <c r="C72" s="335"/>
      <c r="D72" s="335"/>
      <c r="E72" s="335"/>
      <c r="F72" s="335"/>
      <c r="G72" s="335"/>
      <c r="H72" s="335"/>
      <c r="I72" s="335"/>
      <c r="J72" s="335"/>
      <c r="K72" s="335"/>
      <c r="L72" s="337"/>
      <c r="M72" s="337"/>
      <c r="N72" s="337"/>
      <c r="O72" s="335"/>
    </row>
    <row r="73" spans="1:15" ht="13.5" x14ac:dyDescent="0.2">
      <c r="A73" s="340"/>
      <c r="B73" s="335"/>
      <c r="C73" s="335" t="s">
        <v>404</v>
      </c>
      <c r="D73" s="335"/>
      <c r="E73" s="335"/>
      <c r="F73" s="335"/>
      <c r="G73" s="335"/>
      <c r="H73" s="335"/>
      <c r="I73" s="335"/>
      <c r="J73" s="335"/>
      <c r="K73" s="335"/>
      <c r="L73" s="337"/>
      <c r="M73" s="337"/>
      <c r="N73" s="337"/>
      <c r="O73" s="335"/>
    </row>
    <row r="74" spans="1:15" ht="13.5" x14ac:dyDescent="0.2">
      <c r="A74" s="340">
        <v>4</v>
      </c>
      <c r="B74" s="335" t="s">
        <v>405</v>
      </c>
      <c r="C74" s="335"/>
      <c r="D74" s="335"/>
      <c r="E74" s="335"/>
      <c r="F74" s="335"/>
      <c r="G74" s="335"/>
      <c r="H74" s="335"/>
      <c r="I74" s="335"/>
      <c r="J74" s="335"/>
      <c r="K74" s="335"/>
      <c r="L74" s="337"/>
      <c r="M74" s="337"/>
      <c r="N74" s="337"/>
      <c r="O74" s="335"/>
    </row>
    <row r="75" spans="1:15" x14ac:dyDescent="0.2">
      <c r="A75" s="335"/>
      <c r="B75" s="335"/>
      <c r="C75" s="335" t="s">
        <v>406</v>
      </c>
      <c r="D75" s="335"/>
      <c r="E75" s="335"/>
      <c r="F75" s="335"/>
      <c r="G75" s="335"/>
      <c r="H75" s="335"/>
      <c r="I75" s="335"/>
      <c r="J75" s="335"/>
      <c r="K75" s="335"/>
      <c r="L75" s="337"/>
      <c r="M75" s="337"/>
      <c r="N75" s="337"/>
      <c r="O75" s="335"/>
    </row>
    <row r="76" spans="1:15" x14ac:dyDescent="0.2">
      <c r="A76" s="335"/>
      <c r="B76" s="335"/>
      <c r="C76" s="335" t="s">
        <v>407</v>
      </c>
      <c r="D76" s="335"/>
      <c r="E76" s="335"/>
      <c r="F76" s="335"/>
      <c r="G76" s="335"/>
      <c r="H76" s="335"/>
      <c r="I76" s="335"/>
      <c r="J76" s="335"/>
      <c r="K76" s="335"/>
      <c r="L76" s="337"/>
      <c r="M76" s="337"/>
      <c r="N76" s="337"/>
      <c r="O76" s="335"/>
    </row>
    <row r="77" spans="1:15" x14ac:dyDescent="0.2">
      <c r="A77" s="335"/>
      <c r="B77" s="335"/>
      <c r="C77" s="335" t="s">
        <v>408</v>
      </c>
      <c r="D77" s="335"/>
      <c r="E77" s="335"/>
      <c r="F77" s="335"/>
      <c r="G77" s="335"/>
      <c r="H77" s="335"/>
      <c r="I77" s="335"/>
      <c r="J77" s="335"/>
      <c r="K77" s="335"/>
      <c r="L77" s="337"/>
      <c r="M77" s="337"/>
      <c r="N77" s="337"/>
      <c r="O77" s="335"/>
    </row>
    <row r="78" spans="1:15" x14ac:dyDescent="0.2">
      <c r="A78" s="335"/>
      <c r="B78" s="335"/>
      <c r="C78" s="335" t="s">
        <v>409</v>
      </c>
      <c r="D78" s="335"/>
      <c r="E78" s="335"/>
      <c r="F78" s="336">
        <v>775</v>
      </c>
      <c r="G78" s="341" t="s">
        <v>410</v>
      </c>
      <c r="H78" s="335"/>
      <c r="I78" s="336">
        <v>800</v>
      </c>
      <c r="J78" s="341" t="s">
        <v>411</v>
      </c>
      <c r="K78" s="341"/>
      <c r="L78" s="337"/>
      <c r="M78" s="342">
        <v>650</v>
      </c>
      <c r="N78" s="343" t="s">
        <v>336</v>
      </c>
      <c r="O78" s="335"/>
    </row>
    <row r="79" spans="1:15" x14ac:dyDescent="0.2">
      <c r="A79" s="335"/>
      <c r="B79" s="335"/>
      <c r="C79" s="335" t="s">
        <v>412</v>
      </c>
      <c r="D79" s="335"/>
      <c r="E79" s="335"/>
      <c r="F79" s="335"/>
      <c r="G79" s="341"/>
      <c r="H79" s="335"/>
      <c r="I79" s="335"/>
      <c r="J79" s="341"/>
      <c r="K79" s="341"/>
      <c r="L79" s="337"/>
      <c r="M79" s="344"/>
      <c r="N79" s="343"/>
      <c r="O79" s="335"/>
    </row>
    <row r="80" spans="1:15" ht="13.5" x14ac:dyDescent="0.2">
      <c r="A80" s="340">
        <v>5</v>
      </c>
      <c r="B80" s="335" t="s">
        <v>413</v>
      </c>
      <c r="C80" s="335"/>
      <c r="D80" s="335"/>
      <c r="E80" s="335"/>
      <c r="F80" s="335"/>
      <c r="G80" s="335"/>
      <c r="H80" s="335"/>
      <c r="I80" s="335"/>
      <c r="J80" s="335"/>
      <c r="K80" s="335"/>
      <c r="L80" s="337"/>
      <c r="M80" s="337"/>
      <c r="N80" s="337"/>
      <c r="O80" s="335"/>
    </row>
    <row r="81" spans="1:15" ht="13.5" x14ac:dyDescent="0.2">
      <c r="A81" s="345">
        <v>6</v>
      </c>
      <c r="B81" s="335" t="s">
        <v>414</v>
      </c>
      <c r="C81" s="335"/>
      <c r="D81" s="335"/>
      <c r="E81" s="335"/>
      <c r="F81" s="335"/>
      <c r="G81" s="335"/>
      <c r="H81" s="335"/>
      <c r="I81" s="335"/>
      <c r="J81" s="335"/>
      <c r="K81" s="335"/>
      <c r="L81" s="337"/>
      <c r="M81" s="337"/>
      <c r="N81" s="337"/>
      <c r="O81" s="335"/>
    </row>
    <row r="82" spans="1:15" ht="13.5" x14ac:dyDescent="0.2">
      <c r="A82" s="340">
        <v>7</v>
      </c>
      <c r="B82" s="335" t="s">
        <v>415</v>
      </c>
      <c r="C82" s="335"/>
      <c r="D82" s="335"/>
      <c r="E82" s="335"/>
      <c r="F82" s="335"/>
      <c r="G82" s="335"/>
      <c r="H82" s="335"/>
      <c r="I82" s="335"/>
      <c r="J82" s="335"/>
      <c r="K82" s="335"/>
      <c r="L82" s="337"/>
      <c r="M82" s="337"/>
      <c r="N82" s="337"/>
      <c r="O82" s="335"/>
    </row>
    <row r="83" spans="1:15" ht="13.5" x14ac:dyDescent="0.2">
      <c r="A83" s="340">
        <v>8</v>
      </c>
      <c r="B83" s="335" t="s">
        <v>416</v>
      </c>
      <c r="C83" s="335"/>
      <c r="D83" s="335"/>
      <c r="E83" s="335"/>
      <c r="F83" s="335"/>
      <c r="G83" s="335"/>
      <c r="H83" s="335"/>
      <c r="I83" s="335"/>
      <c r="J83" s="335"/>
      <c r="K83" s="335"/>
      <c r="L83" s="337"/>
      <c r="M83" s="337"/>
      <c r="N83" s="337"/>
      <c r="O83" s="335"/>
    </row>
    <row r="84" spans="1:15" ht="13.5" x14ac:dyDescent="0.2">
      <c r="A84" s="340">
        <v>9</v>
      </c>
      <c r="B84" s="335" t="s">
        <v>417</v>
      </c>
      <c r="C84" s="335"/>
      <c r="D84" s="335"/>
      <c r="E84" s="335"/>
      <c r="F84" s="335"/>
      <c r="G84" s="335"/>
      <c r="H84" s="335"/>
      <c r="I84" s="335"/>
      <c r="J84" s="335"/>
      <c r="K84" s="335"/>
      <c r="L84" s="337"/>
      <c r="M84" s="337"/>
      <c r="N84" s="337"/>
      <c r="O84" s="335"/>
    </row>
    <row r="85" spans="1:15" ht="13.5" x14ac:dyDescent="0.2">
      <c r="A85" s="340">
        <v>10</v>
      </c>
      <c r="B85" s="335" t="s">
        <v>418</v>
      </c>
      <c r="C85" s="335"/>
      <c r="D85" s="335"/>
      <c r="E85" s="335"/>
      <c r="F85" s="335"/>
      <c r="G85" s="335"/>
      <c r="H85" s="335"/>
      <c r="I85" s="335"/>
      <c r="J85" s="335"/>
      <c r="K85" s="335"/>
      <c r="L85" s="337"/>
      <c r="M85" s="337"/>
      <c r="N85" s="337"/>
      <c r="O85" s="335"/>
    </row>
    <row r="86" spans="1:15" ht="13.5" x14ac:dyDescent="0.2">
      <c r="A86" s="340"/>
      <c r="B86" s="335"/>
      <c r="C86" s="335" t="s">
        <v>419</v>
      </c>
      <c r="D86" s="335"/>
      <c r="E86" s="335"/>
      <c r="F86" s="335"/>
      <c r="G86" s="335"/>
      <c r="H86" s="335"/>
      <c r="I86" s="335"/>
      <c r="J86" s="335"/>
      <c r="K86" s="335"/>
      <c r="L86" s="337"/>
      <c r="M86" s="337"/>
      <c r="N86" s="337"/>
      <c r="O86" s="335"/>
    </row>
    <row r="87" spans="1:15" ht="13.5" x14ac:dyDescent="0.2">
      <c r="A87" s="340">
        <v>11</v>
      </c>
      <c r="B87" s="335" t="s">
        <v>420</v>
      </c>
      <c r="C87" s="335"/>
      <c r="D87" s="335"/>
      <c r="E87" s="335"/>
      <c r="F87" s="335"/>
      <c r="G87" s="335"/>
      <c r="H87" s="335"/>
      <c r="I87" s="335"/>
      <c r="J87" s="335"/>
      <c r="K87" s="335"/>
      <c r="L87" s="337"/>
      <c r="M87" s="337"/>
      <c r="N87" s="337"/>
      <c r="O87" s="335"/>
    </row>
    <row r="88" spans="1:15" ht="13.5" x14ac:dyDescent="0.2">
      <c r="A88" s="340">
        <v>12</v>
      </c>
      <c r="B88" s="335" t="s">
        <v>421</v>
      </c>
      <c r="C88" s="335"/>
      <c r="D88" s="335"/>
      <c r="E88" s="335"/>
      <c r="F88" s="335"/>
      <c r="G88" s="335"/>
      <c r="H88" s="335"/>
      <c r="I88" s="335"/>
      <c r="J88" s="335"/>
      <c r="K88" s="335"/>
      <c r="L88" s="337"/>
      <c r="M88" s="337"/>
      <c r="N88" s="337"/>
      <c r="O88" s="335"/>
    </row>
    <row r="89" spans="1:15" ht="13.5" x14ac:dyDescent="0.2">
      <c r="A89" s="340"/>
      <c r="B89" s="335"/>
      <c r="C89" s="335" t="s">
        <v>422</v>
      </c>
      <c r="D89" s="335"/>
      <c r="E89" s="335"/>
      <c r="F89" s="335"/>
      <c r="G89" s="335"/>
      <c r="H89" s="335"/>
      <c r="I89" s="335"/>
      <c r="J89" s="335"/>
      <c r="K89" s="335"/>
      <c r="L89" s="337"/>
      <c r="M89" s="337"/>
      <c r="N89" s="337"/>
      <c r="O89" s="335"/>
    </row>
    <row r="90" spans="1:15" x14ac:dyDescent="0.2">
      <c r="C90" s="335" t="s">
        <v>423</v>
      </c>
      <c r="D90" s="335"/>
      <c r="E90" s="335"/>
      <c r="F90" s="335"/>
      <c r="G90" s="335"/>
      <c r="H90" s="335"/>
      <c r="I90" s="335"/>
      <c r="J90" s="335"/>
      <c r="K90" s="335"/>
      <c r="L90" s="337"/>
      <c r="M90" s="337"/>
      <c r="N90" s="337"/>
      <c r="O90" s="335"/>
    </row>
    <row r="91" spans="1:15" ht="13.5" x14ac:dyDescent="0.2">
      <c r="A91" s="340">
        <v>13</v>
      </c>
      <c r="B91" s="335" t="s">
        <v>424</v>
      </c>
      <c r="C91" s="335"/>
      <c r="D91" s="335"/>
      <c r="E91" s="335"/>
      <c r="F91" s="335"/>
      <c r="G91" s="335"/>
      <c r="H91" s="335"/>
      <c r="I91" s="335"/>
      <c r="J91" s="335"/>
      <c r="K91" s="335"/>
      <c r="L91" s="337"/>
      <c r="M91" s="337"/>
      <c r="N91" s="337"/>
      <c r="O91" s="335"/>
    </row>
    <row r="92" spans="1:15" ht="13.5" x14ac:dyDescent="0.2">
      <c r="A92" s="340">
        <v>14</v>
      </c>
      <c r="B92" s="335" t="s">
        <v>421</v>
      </c>
      <c r="C92" s="335"/>
      <c r="D92" s="335"/>
      <c r="E92" s="335"/>
      <c r="F92" s="335"/>
      <c r="G92" s="335"/>
      <c r="H92" s="335"/>
      <c r="I92" s="335"/>
      <c r="J92" s="335"/>
      <c r="K92" s="335"/>
      <c r="L92" s="337"/>
      <c r="M92" s="337"/>
      <c r="N92" s="337"/>
      <c r="O92" s="335"/>
    </row>
    <row r="93" spans="1:15" x14ac:dyDescent="0.2">
      <c r="A93" s="335"/>
      <c r="B93" s="335"/>
      <c r="C93" s="335" t="s">
        <v>422</v>
      </c>
      <c r="D93" s="335"/>
      <c r="E93" s="335"/>
      <c r="F93" s="335"/>
      <c r="G93" s="335"/>
      <c r="H93" s="335"/>
      <c r="I93" s="335"/>
      <c r="J93" s="335"/>
      <c r="K93" s="335"/>
      <c r="L93" s="337"/>
      <c r="M93" s="337"/>
      <c r="N93" s="337"/>
      <c r="O93" s="335"/>
    </row>
    <row r="94" spans="1:15" x14ac:dyDescent="0.2">
      <c r="A94" s="335"/>
      <c r="C94" s="335" t="s">
        <v>423</v>
      </c>
      <c r="D94" s="335"/>
      <c r="E94" s="335"/>
      <c r="F94" s="335"/>
      <c r="G94" s="335"/>
      <c r="H94" s="335"/>
      <c r="I94" s="335"/>
      <c r="J94" s="335"/>
      <c r="K94" s="335"/>
      <c r="L94" s="337"/>
      <c r="M94" s="337"/>
      <c r="N94" s="337"/>
      <c r="O94" s="335"/>
    </row>
    <row r="95" spans="1:15" x14ac:dyDescent="0.2">
      <c r="A95" s="335"/>
      <c r="C95" s="335" t="s">
        <v>425</v>
      </c>
      <c r="D95" s="335"/>
      <c r="E95" s="335"/>
      <c r="F95" s="335"/>
      <c r="G95" s="335"/>
      <c r="H95" s="335"/>
      <c r="I95" s="335"/>
      <c r="J95" s="335"/>
      <c r="K95" s="335"/>
      <c r="L95" s="337"/>
      <c r="M95" s="337"/>
      <c r="N95" s="337"/>
      <c r="O95" s="335"/>
    </row>
    <row r="96" spans="1:15" ht="13.5" x14ac:dyDescent="0.2">
      <c r="A96" s="340">
        <v>15</v>
      </c>
      <c r="B96" s="335" t="s">
        <v>426</v>
      </c>
      <c r="C96" s="335"/>
      <c r="D96" s="335"/>
      <c r="E96" s="335"/>
      <c r="F96" s="335"/>
      <c r="G96" s="335"/>
      <c r="H96" s="335"/>
      <c r="I96" s="335"/>
      <c r="J96" s="335"/>
      <c r="K96" s="335"/>
      <c r="L96" s="337"/>
      <c r="M96" s="337"/>
      <c r="N96" s="337"/>
      <c r="O96" s="335"/>
    </row>
    <row r="97" spans="1:15" ht="13.5" x14ac:dyDescent="0.2">
      <c r="A97" s="340">
        <v>16</v>
      </c>
      <c r="B97" s="335" t="s">
        <v>427</v>
      </c>
      <c r="C97" s="335"/>
      <c r="D97" s="335"/>
      <c r="E97" s="335"/>
      <c r="F97" s="335"/>
      <c r="G97" s="335"/>
      <c r="H97" s="335"/>
      <c r="I97" s="335"/>
      <c r="J97" s="335"/>
      <c r="K97" s="335"/>
      <c r="L97" s="337"/>
      <c r="M97" s="337"/>
      <c r="N97" s="337"/>
      <c r="O97" s="335"/>
    </row>
    <row r="98" spans="1:15" ht="13.5" x14ac:dyDescent="0.2">
      <c r="A98" s="340"/>
      <c r="B98" s="335"/>
      <c r="C98" s="335" t="s">
        <v>416</v>
      </c>
      <c r="D98" s="335"/>
      <c r="E98" s="335"/>
      <c r="F98" s="335"/>
      <c r="G98" s="335"/>
      <c r="H98" s="335"/>
      <c r="I98" s="335"/>
      <c r="J98" s="335"/>
      <c r="K98" s="335"/>
      <c r="L98" s="337"/>
      <c r="M98" s="337"/>
      <c r="N98" s="337"/>
      <c r="O98" s="335"/>
    </row>
    <row r="99" spans="1:15" ht="13.5" x14ac:dyDescent="0.2">
      <c r="A99" s="340">
        <v>17</v>
      </c>
      <c r="B99" s="335" t="s">
        <v>428</v>
      </c>
      <c r="C99" s="335"/>
      <c r="N99" s="337"/>
      <c r="O99" s="335"/>
    </row>
    <row r="100" spans="1:15" ht="13.5" x14ac:dyDescent="0.2">
      <c r="A100" s="340"/>
      <c r="C100" s="335" t="s">
        <v>429</v>
      </c>
      <c r="N100" s="337"/>
      <c r="O100" s="335"/>
    </row>
    <row r="101" spans="1:15" ht="13.5" x14ac:dyDescent="0.2">
      <c r="A101" s="340">
        <v>18</v>
      </c>
      <c r="B101" s="335" t="s">
        <v>418</v>
      </c>
      <c r="C101" s="335"/>
      <c r="N101" s="337"/>
      <c r="O101" s="335"/>
    </row>
    <row r="102" spans="1:15" ht="13.5" x14ac:dyDescent="0.2">
      <c r="A102" s="340"/>
      <c r="B102" s="335"/>
      <c r="C102" s="335" t="s">
        <v>419</v>
      </c>
      <c r="N102" s="337"/>
      <c r="O102" s="335"/>
    </row>
    <row r="103" spans="1:15" ht="13.5" x14ac:dyDescent="0.2">
      <c r="A103" s="340">
        <v>19</v>
      </c>
      <c r="B103" s="335" t="s">
        <v>430</v>
      </c>
      <c r="C103" s="335"/>
      <c r="N103" s="337"/>
      <c r="O103" s="335"/>
    </row>
    <row r="104" spans="1:15" ht="13.5" x14ac:dyDescent="0.2">
      <c r="A104" s="340"/>
      <c r="B104" s="335" t="s">
        <v>431</v>
      </c>
      <c r="C104" s="335"/>
      <c r="N104" s="337"/>
      <c r="O104" s="335"/>
    </row>
    <row r="105" spans="1:15" ht="13.5" x14ac:dyDescent="0.2">
      <c r="A105" s="340"/>
      <c r="B105" s="335" t="s">
        <v>432</v>
      </c>
      <c r="C105" s="335"/>
      <c r="N105" s="337"/>
      <c r="O105" s="335"/>
    </row>
    <row r="106" spans="1:15" ht="13.5" x14ac:dyDescent="0.2">
      <c r="A106" s="340"/>
      <c r="B106" s="335" t="s">
        <v>433</v>
      </c>
      <c r="C106" s="335"/>
      <c r="N106" s="337"/>
      <c r="O106" s="335"/>
    </row>
    <row r="107" spans="1:15" x14ac:dyDescent="0.2">
      <c r="B107" s="335" t="s">
        <v>434</v>
      </c>
      <c r="E107" s="335"/>
      <c r="F107" s="335"/>
      <c r="G107" s="335"/>
      <c r="H107" s="335"/>
      <c r="I107" s="335"/>
      <c r="J107" s="335"/>
      <c r="K107" s="335"/>
      <c r="L107" s="337"/>
      <c r="M107" s="337"/>
      <c r="N107" s="337"/>
      <c r="O107" s="335"/>
    </row>
    <row r="108" spans="1:15" ht="13.5" x14ac:dyDescent="0.2">
      <c r="A108" s="340"/>
      <c r="B108" s="335" t="s">
        <v>435</v>
      </c>
      <c r="C108" s="335"/>
      <c r="D108" s="335"/>
      <c r="E108" s="335"/>
      <c r="F108" s="335"/>
      <c r="G108" s="335"/>
      <c r="H108" s="335"/>
      <c r="I108" s="335"/>
      <c r="J108" s="335"/>
      <c r="K108" s="335"/>
      <c r="L108" s="337"/>
      <c r="M108" s="337"/>
      <c r="N108" s="337"/>
      <c r="O108" s="335"/>
    </row>
    <row r="109" spans="1:15" ht="13.5" x14ac:dyDescent="0.2">
      <c r="A109" s="340"/>
      <c r="B109" s="335"/>
      <c r="C109" s="335" t="s">
        <v>436</v>
      </c>
      <c r="D109" s="335"/>
      <c r="E109" s="335"/>
      <c r="F109" s="335"/>
      <c r="G109" s="335"/>
      <c r="H109" s="335"/>
      <c r="I109" s="335"/>
      <c r="J109" s="335"/>
      <c r="K109" s="335"/>
      <c r="L109" s="337"/>
      <c r="M109" s="337"/>
      <c r="N109" s="337"/>
      <c r="O109" s="335"/>
    </row>
    <row r="110" spans="1:15" x14ac:dyDescent="0.2">
      <c r="A110" s="335"/>
      <c r="B110" s="335"/>
      <c r="C110" s="335"/>
      <c r="D110" s="335"/>
      <c r="E110" s="335"/>
      <c r="F110" s="335"/>
      <c r="G110" s="335"/>
      <c r="H110" s="335"/>
      <c r="I110" s="335"/>
      <c r="J110" s="335"/>
      <c r="K110" s="335"/>
      <c r="L110" s="337"/>
      <c r="M110" s="337"/>
      <c r="N110" s="337"/>
      <c r="O110" s="335"/>
    </row>
    <row r="111" spans="1:15" x14ac:dyDescent="0.2">
      <c r="A111" s="335" t="s">
        <v>437</v>
      </c>
      <c r="B111" s="346"/>
      <c r="C111" s="335"/>
      <c r="D111" s="335"/>
      <c r="E111" s="335"/>
      <c r="F111" s="335"/>
      <c r="G111" s="335"/>
      <c r="H111" s="335"/>
      <c r="I111" s="335"/>
      <c r="J111" s="335"/>
    </row>
    <row r="112" spans="1:15" x14ac:dyDescent="0.2">
      <c r="A112" s="335" t="s">
        <v>438</v>
      </c>
      <c r="B112" s="335"/>
      <c r="C112" s="335"/>
      <c r="D112" s="335"/>
      <c r="E112" s="335"/>
      <c r="F112" s="335"/>
      <c r="G112" s="335"/>
      <c r="H112" s="335"/>
      <c r="I112" s="335"/>
      <c r="J112" s="335"/>
    </row>
    <row r="113" spans="1:1" x14ac:dyDescent="0.2">
      <c r="A113" s="335" t="s">
        <v>439</v>
      </c>
    </row>
  </sheetData>
  <mergeCells count="3">
    <mergeCell ref="M5:N5"/>
    <mergeCell ref="A6:D6"/>
    <mergeCell ref="E6:G6"/>
  </mergeCells>
  <printOptions horizontalCentered="1"/>
  <pageMargins left="0.32" right="0.27" top="0.5" bottom="0.5" header="0.5" footer="0.5"/>
  <pageSetup scale="94" fitToHeight="2" orientation="portrait" r:id="rId1"/>
  <headerFooter alignWithMargins="0"/>
  <rowBreaks count="1" manualBreakCount="1">
    <brk id="60" max="1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73C981315DF641945723851C31F187" ma:contentTypeVersion="12" ma:contentTypeDescription="Create a new document." ma:contentTypeScope="" ma:versionID="42c28322c8be4aa02b61d9caac95ec3d">
  <xsd:schema xmlns:xsd="http://www.w3.org/2001/XMLSchema" xmlns:xs="http://www.w3.org/2001/XMLSchema" xmlns:p="http://schemas.microsoft.com/office/2006/metadata/properties" xmlns:ns2="04b7e6ef-76ea-475d-aa9c-ccace62cce5a" xmlns:ns3="8ed2383e-9cc9-44b7-968d-aff2f715c976" targetNamespace="http://schemas.microsoft.com/office/2006/metadata/properties" ma:root="true" ma:fieldsID="52f629b5b9f34fb6020111ffc54e8d0b" ns2:_="" ns3:_="">
    <xsd:import namespace="04b7e6ef-76ea-475d-aa9c-ccace62cce5a"/>
    <xsd:import namespace="8ed2383e-9cc9-44b7-968d-aff2f715c9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b7e6ef-76ea-475d-aa9c-ccace62cce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ed2383e-9cc9-44b7-968d-aff2f715c9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35BB5F-6713-45CC-8714-B5495D490BF0}"/>
</file>

<file path=customXml/itemProps2.xml><?xml version="1.0" encoding="utf-8"?>
<ds:datastoreItem xmlns:ds="http://schemas.openxmlformats.org/officeDocument/2006/customXml" ds:itemID="{3B36A2F8-535F-44D1-82E4-666A3E35FE38}"/>
</file>

<file path=customXml/itemProps3.xml><?xml version="1.0" encoding="utf-8"?>
<ds:datastoreItem xmlns:ds="http://schemas.openxmlformats.org/officeDocument/2006/customXml" ds:itemID="{5E917D9B-D634-4C7F-B5FB-732CC303E4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4a Soil Conserving Rotation</vt:lpstr>
      <vt:lpstr>4b Cover Crops and Cons. Till.</vt:lpstr>
      <vt:lpstr>4c Amendments</vt:lpstr>
      <vt:lpstr>Tilllage</vt:lpstr>
      <vt:lpstr>Cabbage</vt:lpstr>
      <vt:lpstr>Sweet Corn</vt:lpstr>
      <vt:lpstr>corn-cons</vt:lpstr>
      <vt:lpstr>Cabbage!Print_Area</vt:lpstr>
      <vt:lpstr>'corn-cons'!Print_Area</vt:lpstr>
      <vt:lpstr>'Sweet Corn'!Print_Area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dc:creator>
  <cp:lastModifiedBy>Winsten, Jon</cp:lastModifiedBy>
  <cp:lastPrinted>1999-09-20T15:25:34Z</cp:lastPrinted>
  <dcterms:created xsi:type="dcterms:W3CDTF">1999-04-27T17:54:09Z</dcterms:created>
  <dcterms:modified xsi:type="dcterms:W3CDTF">2022-05-26T15:17:23Z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d367d-9e3b-49e5-aa9a-caafdafee3aa_Enabled">
    <vt:lpwstr>true</vt:lpwstr>
  </property>
  <property fmtid="{D5CDD505-2E9C-101B-9397-08002B2CF9AE}" pid="3" name="MSIP_Label_65bd367d-9e3b-49e5-aa9a-caafdafee3aa_SetDate">
    <vt:lpwstr>2022-05-16T18:07:26Z</vt:lpwstr>
  </property>
  <property fmtid="{D5CDD505-2E9C-101B-9397-08002B2CF9AE}" pid="4" name="MSIP_Label_65bd367d-9e3b-49e5-aa9a-caafdafee3aa_Method">
    <vt:lpwstr>Standard</vt:lpwstr>
  </property>
  <property fmtid="{D5CDD505-2E9C-101B-9397-08002B2CF9AE}" pid="5" name="MSIP_Label_65bd367d-9e3b-49e5-aa9a-caafdafee3aa_Name">
    <vt:lpwstr>65bd367d-9e3b-49e5-aa9a-caafdafee3aa</vt:lpwstr>
  </property>
  <property fmtid="{D5CDD505-2E9C-101B-9397-08002B2CF9AE}" pid="6" name="MSIP_Label_65bd367d-9e3b-49e5-aa9a-caafdafee3aa_SiteId">
    <vt:lpwstr>9be3e276-28d8-4cd8-8f84-02cf1911da9c</vt:lpwstr>
  </property>
  <property fmtid="{D5CDD505-2E9C-101B-9397-08002B2CF9AE}" pid="7" name="MSIP_Label_65bd367d-9e3b-49e5-aa9a-caafdafee3aa_ActionId">
    <vt:lpwstr>e4ac6618-5557-4ec5-ae95-af37423191fe</vt:lpwstr>
  </property>
  <property fmtid="{D5CDD505-2E9C-101B-9397-08002B2CF9AE}" pid="8" name="MSIP_Label_65bd367d-9e3b-49e5-aa9a-caafdafee3aa_ContentBits">
    <vt:lpwstr>0</vt:lpwstr>
  </property>
  <property fmtid="{D5CDD505-2E9C-101B-9397-08002B2CF9AE}" pid="9" name="ContentTypeId">
    <vt:lpwstr>0x010100A073C981315DF641945723851C31F187</vt:lpwstr>
  </property>
</Properties>
</file>